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Экономист\Desktop\БЛАГОУСТРОЙСТВО\"/>
    </mc:Choice>
  </mc:AlternateContent>
  <bookViews>
    <workbookView xWindow="0" yWindow="0" windowWidth="28800" windowHeight="11400"/>
  </bookViews>
  <sheets>
    <sheet name="Смета СН-2012 по гл. 1-5" sheetId="5" r:id="rId1"/>
    <sheet name="Ведомость объемов работ" sheetId="6" r:id="rId2"/>
    <sheet name="RV_DATA" sheetId="8" state="hidden" r:id="rId3"/>
    <sheet name="Расчет стоимости ресурсов" sheetId="7" r:id="rId4"/>
    <sheet name="Source" sheetId="1" r:id="rId5"/>
    <sheet name="SourceObSm" sheetId="2" r:id="rId6"/>
    <sheet name="SmtRes" sheetId="3" r:id="rId7"/>
    <sheet name="EtalonRes" sheetId="4" r:id="rId8"/>
  </sheets>
  <definedNames>
    <definedName name="_xlnm.Print_Titles" localSheetId="1">'Ведомость объемов работ'!$15:$15</definedName>
    <definedName name="_xlnm.Print_Titles" localSheetId="3">'Расчет стоимости ресурсов'!$4:$7</definedName>
    <definedName name="_xlnm.Print_Titles" localSheetId="0">'Смета СН-2012 по гл. 1-5'!$30:$30</definedName>
    <definedName name="_xlnm.Print_Area" localSheetId="1">'Ведомость объемов работ'!$A$1:$E$147</definedName>
    <definedName name="_xlnm.Print_Area" localSheetId="3">'Расчет стоимости ресурсов'!$A$1:$F$305</definedName>
    <definedName name="_xlnm.Print_Area" localSheetId="0">'Смета СН-2012 по гл. 1-5'!$A$1:$K$844</definedName>
  </definedNames>
  <calcPr calcId="162913"/>
</workbook>
</file>

<file path=xl/calcChain.xml><?xml version="1.0" encoding="utf-8"?>
<calcChain xmlns="http://schemas.openxmlformats.org/spreadsheetml/2006/main">
  <c r="A299" i="7" l="1"/>
  <c r="A280" i="7"/>
  <c r="A279" i="7"/>
  <c r="A263" i="7"/>
  <c r="A255" i="7"/>
  <c r="A254" i="7"/>
  <c r="A253" i="7"/>
  <c r="A235" i="7"/>
  <c r="A234" i="7"/>
  <c r="A188" i="7"/>
  <c r="A184" i="7"/>
  <c r="A183" i="7"/>
  <c r="A165" i="7"/>
  <c r="A164" i="7"/>
  <c r="A148" i="7"/>
  <c r="A140" i="7"/>
  <c r="A139" i="7"/>
  <c r="D94" i="7"/>
  <c r="A88" i="7"/>
  <c r="A84" i="7"/>
  <c r="A83" i="7"/>
  <c r="A19" i="7"/>
  <c r="A10" i="7"/>
  <c r="A9" i="7"/>
  <c r="A8" i="7"/>
  <c r="U319" i="8"/>
  <c r="T319" i="8"/>
  <c r="R319" i="8"/>
  <c r="Q319" i="8"/>
  <c r="S319" i="8"/>
  <c r="P319" i="8"/>
  <c r="O319" i="8"/>
  <c r="L319" i="8"/>
  <c r="M319" i="8" s="1"/>
  <c r="N319" i="8"/>
  <c r="K319" i="8"/>
  <c r="J319" i="8"/>
  <c r="I319" i="8"/>
  <c r="H319" i="8"/>
  <c r="G319" i="8"/>
  <c r="F319" i="8"/>
  <c r="E319" i="8"/>
  <c r="U318" i="8"/>
  <c r="T318" i="8"/>
  <c r="Q318" i="8"/>
  <c r="R318" i="8" s="1"/>
  <c r="S318" i="8"/>
  <c r="P318" i="8"/>
  <c r="L318" i="8"/>
  <c r="N318" i="8"/>
  <c r="K318" i="8"/>
  <c r="J318" i="8"/>
  <c r="I318" i="8"/>
  <c r="H318" i="8"/>
  <c r="G318" i="8"/>
  <c r="F318" i="8"/>
  <c r="E318" i="8"/>
  <c r="U317" i="8"/>
  <c r="Q317" i="8"/>
  <c r="S317" i="8"/>
  <c r="P317" i="8"/>
  <c r="M317" i="8"/>
  <c r="F302" i="7" s="1"/>
  <c r="L317" i="8"/>
  <c r="O317" i="8" s="1"/>
  <c r="N317" i="8"/>
  <c r="K317" i="8"/>
  <c r="E302" i="7" s="1"/>
  <c r="J317" i="8"/>
  <c r="I317" i="8"/>
  <c r="D302" i="7" s="1"/>
  <c r="H317" i="8"/>
  <c r="G317" i="8"/>
  <c r="F317" i="8"/>
  <c r="E317" i="8"/>
  <c r="U316" i="8"/>
  <c r="R316" i="8"/>
  <c r="Q316" i="8"/>
  <c r="T316" i="8" s="1"/>
  <c r="S316" i="8"/>
  <c r="P316" i="8"/>
  <c r="O316" i="8"/>
  <c r="M316" i="8"/>
  <c r="L316" i="8"/>
  <c r="N316" i="8"/>
  <c r="K316" i="8"/>
  <c r="E303" i="7" s="1"/>
  <c r="J316" i="8"/>
  <c r="I316" i="8"/>
  <c r="H316" i="8"/>
  <c r="G316" i="8"/>
  <c r="F316" i="8"/>
  <c r="E316" i="8"/>
  <c r="U315" i="8"/>
  <c r="T315" i="8"/>
  <c r="R315" i="8"/>
  <c r="Q315" i="8"/>
  <c r="S315" i="8"/>
  <c r="P315" i="8"/>
  <c r="O315" i="8"/>
  <c r="L315" i="8"/>
  <c r="M315" i="8" s="1"/>
  <c r="F301" i="7" s="1"/>
  <c r="N315" i="8"/>
  <c r="K315" i="8"/>
  <c r="E301" i="7" s="1"/>
  <c r="J315" i="8"/>
  <c r="I315" i="8"/>
  <c r="D301" i="7" s="1"/>
  <c r="H315" i="8"/>
  <c r="G315" i="8"/>
  <c r="F315" i="8"/>
  <c r="E315" i="8"/>
  <c r="G314" i="8"/>
  <c r="A314" i="8"/>
  <c r="U313" i="8"/>
  <c r="S313" i="8"/>
  <c r="T313" i="8" s="1"/>
  <c r="R313" i="8"/>
  <c r="P313" i="8"/>
  <c r="N313" i="8"/>
  <c r="O313" i="8" s="1"/>
  <c r="M313" i="8"/>
  <c r="F297" i="7" s="1"/>
  <c r="K313" i="8"/>
  <c r="E297" i="7" s="1"/>
  <c r="I313" i="8"/>
  <c r="D297" i="7" s="1"/>
  <c r="H313" i="8"/>
  <c r="G313" i="8"/>
  <c r="F313" i="8"/>
  <c r="E313" i="8"/>
  <c r="D313" i="8"/>
  <c r="A313" i="8"/>
  <c r="U312" i="8"/>
  <c r="R312" i="8"/>
  <c r="Q312" i="8"/>
  <c r="T312" i="8" s="1"/>
  <c r="S312" i="8"/>
  <c r="P312" i="8"/>
  <c r="O312" i="8"/>
  <c r="M312" i="8"/>
  <c r="F284" i="7" s="1"/>
  <c r="L312" i="8"/>
  <c r="N312" i="8"/>
  <c r="K312" i="8"/>
  <c r="E284" i="7" s="1"/>
  <c r="J312" i="8"/>
  <c r="I312" i="8"/>
  <c r="D284" i="7" s="1"/>
  <c r="H312" i="8"/>
  <c r="G312" i="8"/>
  <c r="F312" i="8"/>
  <c r="E312" i="8"/>
  <c r="U311" i="8"/>
  <c r="T311" i="8"/>
  <c r="R311" i="8"/>
  <c r="Q311" i="8"/>
  <c r="S311" i="8"/>
  <c r="P311" i="8"/>
  <c r="O311" i="8"/>
  <c r="L311" i="8"/>
  <c r="M311" i="8" s="1"/>
  <c r="F289" i="7" s="1"/>
  <c r="N311" i="8"/>
  <c r="K311" i="8"/>
  <c r="E289" i="7" s="1"/>
  <c r="J311" i="8"/>
  <c r="I311" i="8"/>
  <c r="D289" i="7" s="1"/>
  <c r="H311" i="8"/>
  <c r="G311" i="8"/>
  <c r="F311" i="8"/>
  <c r="E311" i="8"/>
  <c r="U310" i="8"/>
  <c r="T310" i="8"/>
  <c r="Q310" i="8"/>
  <c r="R310" i="8" s="1"/>
  <c r="S310" i="8"/>
  <c r="P310" i="8"/>
  <c r="L310" i="8"/>
  <c r="N310" i="8"/>
  <c r="K310" i="8"/>
  <c r="E290" i="7" s="1"/>
  <c r="J310" i="8"/>
  <c r="I310" i="8"/>
  <c r="D290" i="7" s="1"/>
  <c r="H310" i="8"/>
  <c r="G310" i="8"/>
  <c r="F310" i="8"/>
  <c r="E310" i="8"/>
  <c r="U309" i="8"/>
  <c r="Q309" i="8"/>
  <c r="S309" i="8"/>
  <c r="P309" i="8"/>
  <c r="M309" i="8"/>
  <c r="F296" i="7" s="1"/>
  <c r="L309" i="8"/>
  <c r="O309" i="8" s="1"/>
  <c r="N309" i="8"/>
  <c r="K309" i="8"/>
  <c r="E296" i="7" s="1"/>
  <c r="J309" i="8"/>
  <c r="I309" i="8"/>
  <c r="D296" i="7" s="1"/>
  <c r="H309" i="8"/>
  <c r="G309" i="8"/>
  <c r="F309" i="8"/>
  <c r="E309" i="8"/>
  <c r="U308" i="8"/>
  <c r="R308" i="8"/>
  <c r="Q308" i="8"/>
  <c r="T308" i="8" s="1"/>
  <c r="S308" i="8"/>
  <c r="P308" i="8"/>
  <c r="O308" i="8"/>
  <c r="M308" i="8"/>
  <c r="F282" i="7" s="1"/>
  <c r="L308" i="8"/>
  <c r="N308" i="8"/>
  <c r="K308" i="8"/>
  <c r="E282" i="7" s="1"/>
  <c r="J308" i="8"/>
  <c r="I308" i="8"/>
  <c r="D282" i="7" s="1"/>
  <c r="H308" i="8"/>
  <c r="G308" i="8"/>
  <c r="F308" i="8"/>
  <c r="E308" i="8"/>
  <c r="U307" i="8"/>
  <c r="T307" i="8"/>
  <c r="R307" i="8"/>
  <c r="Q307" i="8"/>
  <c r="S307" i="8"/>
  <c r="P307" i="8"/>
  <c r="O307" i="8"/>
  <c r="M307" i="8"/>
  <c r="F283" i="7" s="1"/>
  <c r="L307" i="8"/>
  <c r="N307" i="8"/>
  <c r="K307" i="8"/>
  <c r="E283" i="7" s="1"/>
  <c r="J307" i="8"/>
  <c r="I307" i="8"/>
  <c r="D283" i="7" s="1"/>
  <c r="H307" i="8"/>
  <c r="G307" i="8"/>
  <c r="F307" i="8"/>
  <c r="E307" i="8"/>
  <c r="U306" i="8"/>
  <c r="T306" i="8"/>
  <c r="R306" i="8"/>
  <c r="Q306" i="8"/>
  <c r="S306" i="8"/>
  <c r="P306" i="8"/>
  <c r="L306" i="8"/>
  <c r="N306" i="8"/>
  <c r="K306" i="8"/>
  <c r="E285" i="7" s="1"/>
  <c r="J306" i="8"/>
  <c r="I306" i="8"/>
  <c r="D285" i="7" s="1"/>
  <c r="H306" i="8"/>
  <c r="G306" i="8"/>
  <c r="F306" i="8"/>
  <c r="E306" i="8"/>
  <c r="U305" i="8"/>
  <c r="Q305" i="8"/>
  <c r="S305" i="8"/>
  <c r="P305" i="8"/>
  <c r="M305" i="8"/>
  <c r="F286" i="7" s="1"/>
  <c r="L305" i="8"/>
  <c r="O305" i="8" s="1"/>
  <c r="N305" i="8"/>
  <c r="K305" i="8"/>
  <c r="E286" i="7" s="1"/>
  <c r="J305" i="8"/>
  <c r="I305" i="8"/>
  <c r="D286" i="7" s="1"/>
  <c r="H305" i="8"/>
  <c r="G305" i="8"/>
  <c r="F305" i="8"/>
  <c r="E305" i="8"/>
  <c r="U304" i="8"/>
  <c r="R304" i="8"/>
  <c r="Q304" i="8"/>
  <c r="T304" i="8" s="1"/>
  <c r="S304" i="8"/>
  <c r="P304" i="8"/>
  <c r="O304" i="8"/>
  <c r="M304" i="8"/>
  <c r="F291" i="7" s="1"/>
  <c r="L304" i="8"/>
  <c r="N304" i="8"/>
  <c r="K304" i="8"/>
  <c r="E291" i="7" s="1"/>
  <c r="J304" i="8"/>
  <c r="I304" i="8"/>
  <c r="D291" i="7" s="1"/>
  <c r="H304" i="8"/>
  <c r="G304" i="8"/>
  <c r="F304" i="8"/>
  <c r="E304" i="8"/>
  <c r="U303" i="8"/>
  <c r="T303" i="8"/>
  <c r="R303" i="8"/>
  <c r="Q303" i="8"/>
  <c r="S303" i="8"/>
  <c r="P303" i="8"/>
  <c r="O303" i="8"/>
  <c r="M303" i="8"/>
  <c r="F292" i="7" s="1"/>
  <c r="L303" i="8"/>
  <c r="N303" i="8"/>
  <c r="K303" i="8"/>
  <c r="E292" i="7" s="1"/>
  <c r="J303" i="8"/>
  <c r="I303" i="8"/>
  <c r="D292" i="7" s="1"/>
  <c r="H303" i="8"/>
  <c r="G303" i="8"/>
  <c r="F303" i="8"/>
  <c r="E303" i="8"/>
  <c r="U302" i="8"/>
  <c r="T302" i="8"/>
  <c r="R302" i="8"/>
  <c r="Q302" i="8"/>
  <c r="S302" i="8"/>
  <c r="P302" i="8"/>
  <c r="L302" i="8"/>
  <c r="N302" i="8"/>
  <c r="K302" i="8"/>
  <c r="E293" i="7" s="1"/>
  <c r="J302" i="8"/>
  <c r="I302" i="8"/>
  <c r="D293" i="7" s="1"/>
  <c r="H302" i="8"/>
  <c r="G302" i="8"/>
  <c r="F302" i="8"/>
  <c r="E302" i="8"/>
  <c r="U301" i="8"/>
  <c r="Q301" i="8"/>
  <c r="S301" i="8"/>
  <c r="P301" i="8"/>
  <c r="M301" i="8"/>
  <c r="F294" i="7" s="1"/>
  <c r="L301" i="8"/>
  <c r="O301" i="8" s="1"/>
  <c r="N301" i="8"/>
  <c r="K301" i="8"/>
  <c r="E294" i="7" s="1"/>
  <c r="J301" i="8"/>
  <c r="I301" i="8"/>
  <c r="D294" i="7" s="1"/>
  <c r="H301" i="8"/>
  <c r="G301" i="8"/>
  <c r="F301" i="8"/>
  <c r="E301" i="8"/>
  <c r="U300" i="8"/>
  <c r="R300" i="8"/>
  <c r="Q300" i="8"/>
  <c r="T300" i="8" s="1"/>
  <c r="S300" i="8"/>
  <c r="P300" i="8"/>
  <c r="O300" i="8"/>
  <c r="M300" i="8"/>
  <c r="F295" i="7" s="1"/>
  <c r="L300" i="8"/>
  <c r="N300" i="8"/>
  <c r="K300" i="8"/>
  <c r="E295" i="7" s="1"/>
  <c r="J300" i="8"/>
  <c r="I300" i="8"/>
  <c r="D295" i="7" s="1"/>
  <c r="H300" i="8"/>
  <c r="G300" i="8"/>
  <c r="F300" i="8"/>
  <c r="E300" i="8"/>
  <c r="G299" i="8"/>
  <c r="A299" i="8"/>
  <c r="G298" i="8"/>
  <c r="A298" i="8"/>
  <c r="U297" i="8"/>
  <c r="T297" i="8"/>
  <c r="S297" i="8"/>
  <c r="P297" i="8"/>
  <c r="O297" i="8"/>
  <c r="N297" i="8"/>
  <c r="K297" i="8"/>
  <c r="E277" i="7" s="1"/>
  <c r="I297" i="8"/>
  <c r="H297" i="8"/>
  <c r="G297" i="8"/>
  <c r="F297" i="8"/>
  <c r="E297" i="8"/>
  <c r="D297" i="8"/>
  <c r="A297" i="8"/>
  <c r="U296" i="8"/>
  <c r="T296" i="8"/>
  <c r="R296" i="8"/>
  <c r="Q296" i="8"/>
  <c r="S296" i="8"/>
  <c r="P296" i="8"/>
  <c r="O296" i="8"/>
  <c r="M296" i="8"/>
  <c r="F268" i="7" s="1"/>
  <c r="L296" i="8"/>
  <c r="N296" i="8"/>
  <c r="K296" i="8"/>
  <c r="E268" i="7" s="1"/>
  <c r="J296" i="8"/>
  <c r="I296" i="8"/>
  <c r="D268" i="7" s="1"/>
  <c r="H296" i="8"/>
  <c r="G296" i="8"/>
  <c r="F296" i="8"/>
  <c r="E296" i="8"/>
  <c r="U295" i="8"/>
  <c r="T295" i="8"/>
  <c r="R295" i="8"/>
  <c r="Q295" i="8"/>
  <c r="S295" i="8"/>
  <c r="P295" i="8"/>
  <c r="L295" i="8"/>
  <c r="N295" i="8"/>
  <c r="K295" i="8"/>
  <c r="E271" i="7" s="1"/>
  <c r="J295" i="8"/>
  <c r="I295" i="8"/>
  <c r="D271" i="7" s="1"/>
  <c r="H295" i="8"/>
  <c r="G295" i="8"/>
  <c r="F295" i="8"/>
  <c r="E295" i="8"/>
  <c r="U294" i="8"/>
  <c r="Q294" i="8"/>
  <c r="S294" i="8"/>
  <c r="P294" i="8"/>
  <c r="M294" i="8"/>
  <c r="F273" i="7" s="1"/>
  <c r="L294" i="8"/>
  <c r="O294" i="8" s="1"/>
  <c r="N294" i="8"/>
  <c r="K294" i="8"/>
  <c r="E273" i="7" s="1"/>
  <c r="J294" i="8"/>
  <c r="I294" i="8"/>
  <c r="D273" i="7" s="1"/>
  <c r="H294" i="8"/>
  <c r="G294" i="8"/>
  <c r="F294" i="8"/>
  <c r="E294" i="8"/>
  <c r="U293" i="8"/>
  <c r="R293" i="8"/>
  <c r="Q293" i="8"/>
  <c r="T293" i="8" s="1"/>
  <c r="S293" i="8"/>
  <c r="P293" i="8"/>
  <c r="O293" i="8"/>
  <c r="M293" i="8"/>
  <c r="F276" i="7" s="1"/>
  <c r="L293" i="8"/>
  <c r="N293" i="8"/>
  <c r="K293" i="8"/>
  <c r="E276" i="7" s="1"/>
  <c r="J293" i="8"/>
  <c r="I293" i="8"/>
  <c r="D276" i="7" s="1"/>
  <c r="H293" i="8"/>
  <c r="G293" i="8"/>
  <c r="F293" i="8"/>
  <c r="E293" i="8"/>
  <c r="U292" i="8"/>
  <c r="T292" i="8"/>
  <c r="R292" i="8"/>
  <c r="Q292" i="8"/>
  <c r="S292" i="8"/>
  <c r="P292" i="8"/>
  <c r="O292" i="8"/>
  <c r="M292" i="8"/>
  <c r="L292" i="8"/>
  <c r="N292" i="8"/>
  <c r="K292" i="8"/>
  <c r="J292" i="8"/>
  <c r="I292" i="8"/>
  <c r="H292" i="8"/>
  <c r="G292" i="8"/>
  <c r="F292" i="8"/>
  <c r="E292" i="8"/>
  <c r="U291" i="8"/>
  <c r="T291" i="8"/>
  <c r="R291" i="8"/>
  <c r="Q291" i="8"/>
  <c r="S291" i="8"/>
  <c r="P291" i="8"/>
  <c r="L291" i="8"/>
  <c r="N291" i="8"/>
  <c r="K291" i="8"/>
  <c r="J291" i="8"/>
  <c r="I291" i="8"/>
  <c r="H291" i="8"/>
  <c r="G291" i="8"/>
  <c r="F291" i="8"/>
  <c r="E291" i="8"/>
  <c r="U290" i="8"/>
  <c r="Q290" i="8"/>
  <c r="S290" i="8"/>
  <c r="P290" i="8"/>
  <c r="M290" i="8"/>
  <c r="L290" i="8"/>
  <c r="O290" i="8" s="1"/>
  <c r="N290" i="8"/>
  <c r="K290" i="8"/>
  <c r="J290" i="8"/>
  <c r="I290" i="8"/>
  <c r="H290" i="8"/>
  <c r="G290" i="8"/>
  <c r="F290" i="8"/>
  <c r="E290" i="8"/>
  <c r="U289" i="8"/>
  <c r="R289" i="8"/>
  <c r="Q289" i="8"/>
  <c r="T289" i="8" s="1"/>
  <c r="S289" i="8"/>
  <c r="P289" i="8"/>
  <c r="O289" i="8"/>
  <c r="M289" i="8"/>
  <c r="F265" i="7" s="1"/>
  <c r="L289" i="8"/>
  <c r="N289" i="8"/>
  <c r="K289" i="8"/>
  <c r="E265" i="7" s="1"/>
  <c r="J289" i="8"/>
  <c r="I289" i="8"/>
  <c r="D265" i="7" s="1"/>
  <c r="H289" i="8"/>
  <c r="G289" i="8"/>
  <c r="F289" i="8"/>
  <c r="E289" i="8"/>
  <c r="U288" i="8"/>
  <c r="T288" i="8"/>
  <c r="R288" i="8"/>
  <c r="Q288" i="8"/>
  <c r="S288" i="8"/>
  <c r="P288" i="8"/>
  <c r="O288" i="8"/>
  <c r="M288" i="8"/>
  <c r="F266" i="7" s="1"/>
  <c r="L288" i="8"/>
  <c r="N288" i="8"/>
  <c r="K288" i="8"/>
  <c r="E266" i="7" s="1"/>
  <c r="J288" i="8"/>
  <c r="I288" i="8"/>
  <c r="D266" i="7" s="1"/>
  <c r="H288" i="8"/>
  <c r="G288" i="8"/>
  <c r="F288" i="8"/>
  <c r="E288" i="8"/>
  <c r="U287" i="8"/>
  <c r="T287" i="8"/>
  <c r="R287" i="8"/>
  <c r="Q287" i="8"/>
  <c r="S287" i="8"/>
  <c r="P287" i="8"/>
  <c r="L287" i="8"/>
  <c r="N287" i="8"/>
  <c r="K287" i="8"/>
  <c r="E267" i="7" s="1"/>
  <c r="J287" i="8"/>
  <c r="I287" i="8"/>
  <c r="D267" i="7" s="1"/>
  <c r="H287" i="8"/>
  <c r="G287" i="8"/>
  <c r="F287" i="8"/>
  <c r="E287" i="8"/>
  <c r="U286" i="8"/>
  <c r="Q286" i="8"/>
  <c r="S286" i="8"/>
  <c r="P286" i="8"/>
  <c r="L286" i="8"/>
  <c r="O286" i="8" s="1"/>
  <c r="N286" i="8"/>
  <c r="K286" i="8"/>
  <c r="E272" i="7" s="1"/>
  <c r="J286" i="8"/>
  <c r="I286" i="8"/>
  <c r="D272" i="7" s="1"/>
  <c r="H286" i="8"/>
  <c r="G286" i="8"/>
  <c r="F286" i="8"/>
  <c r="E286" i="8"/>
  <c r="U285" i="8"/>
  <c r="R285" i="8"/>
  <c r="Q285" i="8"/>
  <c r="T285" i="8" s="1"/>
  <c r="S285" i="8"/>
  <c r="P285" i="8"/>
  <c r="O285" i="8"/>
  <c r="M285" i="8"/>
  <c r="F274" i="7" s="1"/>
  <c r="L285" i="8"/>
  <c r="N285" i="8"/>
  <c r="K285" i="8"/>
  <c r="E274" i="7" s="1"/>
  <c r="J285" i="8"/>
  <c r="I285" i="8"/>
  <c r="D274" i="7" s="1"/>
  <c r="H285" i="8"/>
  <c r="G285" i="8"/>
  <c r="F285" i="8"/>
  <c r="E285" i="8"/>
  <c r="U284" i="8"/>
  <c r="T284" i="8"/>
  <c r="R284" i="8"/>
  <c r="Q284" i="8"/>
  <c r="S284" i="8"/>
  <c r="P284" i="8"/>
  <c r="O284" i="8"/>
  <c r="M284" i="8"/>
  <c r="L284" i="8"/>
  <c r="N284" i="8"/>
  <c r="K284" i="8"/>
  <c r="E275" i="7" s="1"/>
  <c r="J284" i="8"/>
  <c r="I284" i="8"/>
  <c r="H284" i="8"/>
  <c r="G284" i="8"/>
  <c r="F284" i="8"/>
  <c r="E284" i="8"/>
  <c r="G283" i="8"/>
  <c r="A283" i="8"/>
  <c r="U282" i="8"/>
  <c r="R282" i="8"/>
  <c r="Q282" i="8"/>
  <c r="T282" i="8" s="1"/>
  <c r="S282" i="8"/>
  <c r="P282" i="8"/>
  <c r="O282" i="8"/>
  <c r="M282" i="8"/>
  <c r="F260" i="7" s="1"/>
  <c r="L282" i="8"/>
  <c r="N282" i="8"/>
  <c r="K282" i="8"/>
  <c r="E260" i="7" s="1"/>
  <c r="J282" i="8"/>
  <c r="I282" i="8"/>
  <c r="D260" i="7" s="1"/>
  <c r="H282" i="8"/>
  <c r="G282" i="8"/>
  <c r="F282" i="8"/>
  <c r="E282" i="8"/>
  <c r="U281" i="8"/>
  <c r="T281" i="8"/>
  <c r="R281" i="8"/>
  <c r="Q281" i="8"/>
  <c r="S281" i="8"/>
  <c r="P281" i="8"/>
  <c r="O281" i="8"/>
  <c r="M281" i="8"/>
  <c r="F257" i="7" s="1"/>
  <c r="L281" i="8"/>
  <c r="N281" i="8"/>
  <c r="K281" i="8"/>
  <c r="E257" i="7" s="1"/>
  <c r="J281" i="8"/>
  <c r="I281" i="8"/>
  <c r="D257" i="7" s="1"/>
  <c r="H281" i="8"/>
  <c r="G281" i="8"/>
  <c r="F281" i="8"/>
  <c r="E281" i="8"/>
  <c r="U280" i="8"/>
  <c r="T280" i="8"/>
  <c r="R280" i="8"/>
  <c r="Q280" i="8"/>
  <c r="S280" i="8"/>
  <c r="P280" i="8"/>
  <c r="L280" i="8"/>
  <c r="N280" i="8"/>
  <c r="K280" i="8"/>
  <c r="E258" i="7" s="1"/>
  <c r="J280" i="8"/>
  <c r="I280" i="8"/>
  <c r="D258" i="7" s="1"/>
  <c r="H280" i="8"/>
  <c r="G280" i="8"/>
  <c r="F280" i="8"/>
  <c r="E280" i="8"/>
  <c r="U279" i="8"/>
  <c r="Q279" i="8"/>
  <c r="S279" i="8"/>
  <c r="P279" i="8"/>
  <c r="L279" i="8"/>
  <c r="N279" i="8"/>
  <c r="K279" i="8"/>
  <c r="E259" i="7" s="1"/>
  <c r="J279" i="8"/>
  <c r="I279" i="8"/>
  <c r="D259" i="7" s="1"/>
  <c r="H279" i="8"/>
  <c r="G279" i="8"/>
  <c r="F279" i="8"/>
  <c r="E279" i="8"/>
  <c r="U278" i="8"/>
  <c r="R278" i="8"/>
  <c r="Q278" i="8"/>
  <c r="T278" i="8" s="1"/>
  <c r="S278" i="8"/>
  <c r="P278" i="8"/>
  <c r="O278" i="8"/>
  <c r="M278" i="8"/>
  <c r="F261" i="7" s="1"/>
  <c r="L278" i="8"/>
  <c r="N278" i="8"/>
  <c r="K278" i="8"/>
  <c r="E261" i="7" s="1"/>
  <c r="J278" i="8"/>
  <c r="I278" i="8"/>
  <c r="D261" i="7" s="1"/>
  <c r="H278" i="8"/>
  <c r="G278" i="8"/>
  <c r="F278" i="8"/>
  <c r="E278" i="8"/>
  <c r="G277" i="8"/>
  <c r="A277" i="8"/>
  <c r="G276" i="8"/>
  <c r="A276" i="8"/>
  <c r="G275" i="8"/>
  <c r="A275" i="8"/>
  <c r="U274" i="8"/>
  <c r="Q274" i="8"/>
  <c r="S274" i="8"/>
  <c r="P274" i="8"/>
  <c r="L274" i="8"/>
  <c r="N274" i="8"/>
  <c r="K274" i="8"/>
  <c r="J274" i="8"/>
  <c r="I274" i="8"/>
  <c r="H274" i="8"/>
  <c r="G274" i="8"/>
  <c r="F274" i="8"/>
  <c r="E274" i="8"/>
  <c r="U273" i="8"/>
  <c r="Q273" i="8"/>
  <c r="T273" i="8" s="1"/>
  <c r="S273" i="8"/>
  <c r="P273" i="8"/>
  <c r="O273" i="8"/>
  <c r="M273" i="8"/>
  <c r="L273" i="8"/>
  <c r="N273" i="8"/>
  <c r="K273" i="8"/>
  <c r="J273" i="8"/>
  <c r="I273" i="8"/>
  <c r="H273" i="8"/>
  <c r="G273" i="8"/>
  <c r="F273" i="8"/>
  <c r="E273" i="8"/>
  <c r="U272" i="8"/>
  <c r="T272" i="8"/>
  <c r="R272" i="8"/>
  <c r="Q272" i="8"/>
  <c r="S272" i="8"/>
  <c r="P272" i="8"/>
  <c r="O272" i="8"/>
  <c r="M272" i="8"/>
  <c r="L272" i="8"/>
  <c r="N272" i="8"/>
  <c r="K272" i="8"/>
  <c r="J272" i="8"/>
  <c r="I272" i="8"/>
  <c r="H272" i="8"/>
  <c r="G272" i="8"/>
  <c r="F272" i="8"/>
  <c r="E272" i="8"/>
  <c r="U271" i="8"/>
  <c r="T271" i="8"/>
  <c r="R271" i="8"/>
  <c r="Q271" i="8"/>
  <c r="S271" i="8"/>
  <c r="P271" i="8"/>
  <c r="L271" i="8"/>
  <c r="N271" i="8"/>
  <c r="K271" i="8"/>
  <c r="E238" i="7" s="1"/>
  <c r="J271" i="8"/>
  <c r="I271" i="8"/>
  <c r="H271" i="8"/>
  <c r="G271" i="8"/>
  <c r="F271" i="8"/>
  <c r="E271" i="8"/>
  <c r="U270" i="8"/>
  <c r="Q270" i="8"/>
  <c r="S270" i="8"/>
  <c r="P270" i="8"/>
  <c r="M270" i="8"/>
  <c r="F239" i="7" s="1"/>
  <c r="L270" i="8"/>
  <c r="O270" i="8" s="1"/>
  <c r="N270" i="8"/>
  <c r="K270" i="8"/>
  <c r="E239" i="7" s="1"/>
  <c r="J270" i="8"/>
  <c r="I270" i="8"/>
  <c r="D239" i="7" s="1"/>
  <c r="H270" i="8"/>
  <c r="G270" i="8"/>
  <c r="F270" i="8"/>
  <c r="E270" i="8"/>
  <c r="U269" i="8"/>
  <c r="R269" i="8"/>
  <c r="Q269" i="8"/>
  <c r="T269" i="8" s="1"/>
  <c r="S269" i="8"/>
  <c r="P269" i="8"/>
  <c r="O269" i="8"/>
  <c r="M269" i="8"/>
  <c r="F241" i="7" s="1"/>
  <c r="L269" i="8"/>
  <c r="N269" i="8"/>
  <c r="K269" i="8"/>
  <c r="E241" i="7" s="1"/>
  <c r="J269" i="8"/>
  <c r="I269" i="8"/>
  <c r="D241" i="7" s="1"/>
  <c r="H269" i="8"/>
  <c r="G269" i="8"/>
  <c r="F269" i="8"/>
  <c r="E269" i="8"/>
  <c r="U268" i="8"/>
  <c r="T268" i="8"/>
  <c r="R268" i="8"/>
  <c r="Q268" i="8"/>
  <c r="S268" i="8"/>
  <c r="P268" i="8"/>
  <c r="O268" i="8"/>
  <c r="M268" i="8"/>
  <c r="F246" i="7" s="1"/>
  <c r="L268" i="8"/>
  <c r="N268" i="8"/>
  <c r="K268" i="8"/>
  <c r="E246" i="7" s="1"/>
  <c r="J268" i="8"/>
  <c r="I268" i="8"/>
  <c r="D246" i="7" s="1"/>
  <c r="H268" i="8"/>
  <c r="G268" i="8"/>
  <c r="F268" i="8"/>
  <c r="E268" i="8"/>
  <c r="U267" i="8"/>
  <c r="T267" i="8"/>
  <c r="R267" i="8"/>
  <c r="Q267" i="8"/>
  <c r="S267" i="8"/>
  <c r="P267" i="8"/>
  <c r="O267" i="8"/>
  <c r="L267" i="8"/>
  <c r="M267" i="8" s="1"/>
  <c r="F247" i="7" s="1"/>
  <c r="N267" i="8"/>
  <c r="K267" i="8"/>
  <c r="E247" i="7" s="1"/>
  <c r="J267" i="8"/>
  <c r="I267" i="8"/>
  <c r="D247" i="7" s="1"/>
  <c r="H267" i="8"/>
  <c r="G267" i="8"/>
  <c r="F267" i="8"/>
  <c r="E267" i="8"/>
  <c r="U266" i="8"/>
  <c r="T266" i="8"/>
  <c r="Q266" i="8"/>
  <c r="R266" i="8" s="1"/>
  <c r="S266" i="8"/>
  <c r="P266" i="8"/>
  <c r="M266" i="8"/>
  <c r="F250" i="7" s="1"/>
  <c r="L266" i="8"/>
  <c r="O266" i="8" s="1"/>
  <c r="N266" i="8"/>
  <c r="K266" i="8"/>
  <c r="E250" i="7" s="1"/>
  <c r="J266" i="8"/>
  <c r="I266" i="8"/>
  <c r="D250" i="7" s="1"/>
  <c r="H266" i="8"/>
  <c r="G266" i="8"/>
  <c r="F266" i="8"/>
  <c r="E266" i="8"/>
  <c r="U265" i="8"/>
  <c r="R265" i="8"/>
  <c r="Q265" i="8"/>
  <c r="T265" i="8" s="1"/>
  <c r="S265" i="8"/>
  <c r="P265" i="8"/>
  <c r="O265" i="8"/>
  <c r="M265" i="8"/>
  <c r="F237" i="7" s="1"/>
  <c r="L265" i="8"/>
  <c r="N265" i="8"/>
  <c r="K265" i="8"/>
  <c r="E237" i="7" s="1"/>
  <c r="J265" i="8"/>
  <c r="I265" i="8"/>
  <c r="D237" i="7" s="1"/>
  <c r="H265" i="8"/>
  <c r="G265" i="8"/>
  <c r="F265" i="8"/>
  <c r="E265" i="8"/>
  <c r="U264" i="8"/>
  <c r="T264" i="8"/>
  <c r="R264" i="8"/>
  <c r="Q264" i="8"/>
  <c r="S264" i="8"/>
  <c r="P264" i="8"/>
  <c r="O264" i="8"/>
  <c r="M264" i="8"/>
  <c r="F240" i="7" s="1"/>
  <c r="L264" i="8"/>
  <c r="N264" i="8"/>
  <c r="K264" i="8"/>
  <c r="E240" i="7" s="1"/>
  <c r="J264" i="8"/>
  <c r="I264" i="8"/>
  <c r="D240" i="7" s="1"/>
  <c r="H264" i="8"/>
  <c r="G264" i="8"/>
  <c r="F264" i="8"/>
  <c r="E264" i="8"/>
  <c r="U263" i="8"/>
  <c r="T263" i="8"/>
  <c r="R263" i="8"/>
  <c r="Q263" i="8"/>
  <c r="S263" i="8"/>
  <c r="P263" i="8"/>
  <c r="O263" i="8"/>
  <c r="L263" i="8"/>
  <c r="M263" i="8" s="1"/>
  <c r="F242" i="7" s="1"/>
  <c r="N263" i="8"/>
  <c r="K263" i="8"/>
  <c r="E242" i="7" s="1"/>
  <c r="J263" i="8"/>
  <c r="I263" i="8"/>
  <c r="D242" i="7" s="1"/>
  <c r="H263" i="8"/>
  <c r="G263" i="8"/>
  <c r="F263" i="8"/>
  <c r="E263" i="8"/>
  <c r="U262" i="8"/>
  <c r="T262" i="8"/>
  <c r="Q262" i="8"/>
  <c r="R262" i="8" s="1"/>
  <c r="S262" i="8"/>
  <c r="P262" i="8"/>
  <c r="M262" i="8"/>
  <c r="F243" i="7" s="1"/>
  <c r="L262" i="8"/>
  <c r="O262" i="8" s="1"/>
  <c r="N262" i="8"/>
  <c r="K262" i="8"/>
  <c r="E243" i="7" s="1"/>
  <c r="J262" i="8"/>
  <c r="I262" i="8"/>
  <c r="D243" i="7" s="1"/>
  <c r="H262" i="8"/>
  <c r="G262" i="8"/>
  <c r="F262" i="8"/>
  <c r="E262" i="8"/>
  <c r="U261" i="8"/>
  <c r="R261" i="8"/>
  <c r="Q261" i="8"/>
  <c r="T261" i="8" s="1"/>
  <c r="S261" i="8"/>
  <c r="P261" i="8"/>
  <c r="O261" i="8"/>
  <c r="M261" i="8"/>
  <c r="F248" i="7" s="1"/>
  <c r="L261" i="8"/>
  <c r="N261" i="8"/>
  <c r="K261" i="8"/>
  <c r="E248" i="7" s="1"/>
  <c r="J261" i="8"/>
  <c r="I261" i="8"/>
  <c r="D248" i="7" s="1"/>
  <c r="H261" i="8"/>
  <c r="G261" i="8"/>
  <c r="F261" i="8"/>
  <c r="E261" i="8"/>
  <c r="U260" i="8"/>
  <c r="T260" i="8"/>
  <c r="R260" i="8"/>
  <c r="Q260" i="8"/>
  <c r="S260" i="8"/>
  <c r="P260" i="8"/>
  <c r="O260" i="8"/>
  <c r="M260" i="8"/>
  <c r="F249" i="7" s="1"/>
  <c r="L260" i="8"/>
  <c r="N260" i="8"/>
  <c r="K260" i="8"/>
  <c r="E249" i="7" s="1"/>
  <c r="J260" i="8"/>
  <c r="I260" i="8"/>
  <c r="D249" i="7" s="1"/>
  <c r="H260" i="8"/>
  <c r="G260" i="8"/>
  <c r="F260" i="8"/>
  <c r="E260" i="8"/>
  <c r="U259" i="8"/>
  <c r="T259" i="8"/>
  <c r="R259" i="8"/>
  <c r="Q259" i="8"/>
  <c r="S259" i="8"/>
  <c r="P259" i="8"/>
  <c r="L259" i="8"/>
  <c r="N259" i="8"/>
  <c r="K259" i="8"/>
  <c r="E251" i="7" s="1"/>
  <c r="J259" i="8"/>
  <c r="I259" i="8"/>
  <c r="D251" i="7" s="1"/>
  <c r="H259" i="8"/>
  <c r="G259" i="8"/>
  <c r="F259" i="8"/>
  <c r="E259" i="8"/>
  <c r="G258" i="8"/>
  <c r="A258" i="8"/>
  <c r="G257" i="8"/>
  <c r="A257" i="8"/>
  <c r="U256" i="8"/>
  <c r="Q256" i="8"/>
  <c r="S256" i="8"/>
  <c r="P256" i="8"/>
  <c r="M256" i="8"/>
  <c r="F209" i="7" s="1"/>
  <c r="L256" i="8"/>
  <c r="O256" i="8" s="1"/>
  <c r="N256" i="8"/>
  <c r="K256" i="8"/>
  <c r="E209" i="7" s="1"/>
  <c r="J256" i="8"/>
  <c r="I256" i="8"/>
  <c r="D209" i="7" s="1"/>
  <c r="H256" i="8"/>
  <c r="G256" i="8"/>
  <c r="F256" i="8"/>
  <c r="E256" i="8"/>
  <c r="U255" i="8"/>
  <c r="R255" i="8"/>
  <c r="Q255" i="8"/>
  <c r="T255" i="8" s="1"/>
  <c r="S255" i="8"/>
  <c r="P255" i="8"/>
  <c r="O255" i="8"/>
  <c r="M255" i="8"/>
  <c r="F227" i="7" s="1"/>
  <c r="L255" i="8"/>
  <c r="N255" i="8"/>
  <c r="K255" i="8"/>
  <c r="E227" i="7" s="1"/>
  <c r="J255" i="8"/>
  <c r="I255" i="8"/>
  <c r="D227" i="7" s="1"/>
  <c r="H255" i="8"/>
  <c r="G255" i="8"/>
  <c r="F255" i="8"/>
  <c r="E255" i="8"/>
  <c r="U254" i="8"/>
  <c r="T254" i="8"/>
  <c r="R254" i="8"/>
  <c r="Q254" i="8"/>
  <c r="S254" i="8"/>
  <c r="P254" i="8"/>
  <c r="O254" i="8"/>
  <c r="M254" i="8"/>
  <c r="F190" i="7" s="1"/>
  <c r="L254" i="8"/>
  <c r="N254" i="8"/>
  <c r="K254" i="8"/>
  <c r="E190" i="7" s="1"/>
  <c r="J254" i="8"/>
  <c r="I254" i="8"/>
  <c r="D190" i="7" s="1"/>
  <c r="H254" i="8"/>
  <c r="G254" i="8"/>
  <c r="F254" i="8"/>
  <c r="E254" i="8"/>
  <c r="U253" i="8"/>
  <c r="T253" i="8"/>
  <c r="R253" i="8"/>
  <c r="Q253" i="8"/>
  <c r="S253" i="8"/>
  <c r="P253" i="8"/>
  <c r="L253" i="8"/>
  <c r="N253" i="8"/>
  <c r="K253" i="8"/>
  <c r="J253" i="8"/>
  <c r="I253" i="8"/>
  <c r="H253" i="8"/>
  <c r="G253" i="8"/>
  <c r="F253" i="8"/>
  <c r="E253" i="8"/>
  <c r="U252" i="8"/>
  <c r="Q252" i="8"/>
  <c r="S252" i="8"/>
  <c r="P252" i="8"/>
  <c r="M252" i="8"/>
  <c r="L252" i="8"/>
  <c r="O252" i="8" s="1"/>
  <c r="N252" i="8"/>
  <c r="K252" i="8"/>
  <c r="J252" i="8"/>
  <c r="I252" i="8"/>
  <c r="H252" i="8"/>
  <c r="G252" i="8"/>
  <c r="F252" i="8"/>
  <c r="E252" i="8"/>
  <c r="U251" i="8"/>
  <c r="R251" i="8"/>
  <c r="Q251" i="8"/>
  <c r="T251" i="8" s="1"/>
  <c r="S251" i="8"/>
  <c r="P251" i="8"/>
  <c r="O251" i="8"/>
  <c r="M251" i="8"/>
  <c r="L251" i="8"/>
  <c r="N251" i="8"/>
  <c r="K251" i="8"/>
  <c r="J251" i="8"/>
  <c r="I251" i="8"/>
  <c r="H251" i="8"/>
  <c r="G251" i="8"/>
  <c r="F251" i="8"/>
  <c r="E251" i="8"/>
  <c r="U250" i="8"/>
  <c r="T250" i="8"/>
  <c r="R250" i="8"/>
  <c r="Q250" i="8"/>
  <c r="S250" i="8"/>
  <c r="P250" i="8"/>
  <c r="O250" i="8"/>
  <c r="M250" i="8"/>
  <c r="F210" i="7" s="1"/>
  <c r="L250" i="8"/>
  <c r="N250" i="8"/>
  <c r="K250" i="8"/>
  <c r="E210" i="7" s="1"/>
  <c r="J250" i="8"/>
  <c r="I250" i="8"/>
  <c r="D210" i="7" s="1"/>
  <c r="H250" i="8"/>
  <c r="G250" i="8"/>
  <c r="F250" i="8"/>
  <c r="E250" i="8"/>
  <c r="U249" i="8"/>
  <c r="T249" i="8"/>
  <c r="R249" i="8"/>
  <c r="Q249" i="8"/>
  <c r="S249" i="8"/>
  <c r="P249" i="8"/>
  <c r="L249" i="8"/>
  <c r="N249" i="8"/>
  <c r="K249" i="8"/>
  <c r="E232" i="7" s="1"/>
  <c r="J249" i="8"/>
  <c r="I249" i="8"/>
  <c r="D232" i="7" s="1"/>
  <c r="H249" i="8"/>
  <c r="G249" i="8"/>
  <c r="F249" i="8"/>
  <c r="E249" i="8"/>
  <c r="U248" i="8"/>
  <c r="Q248" i="8"/>
  <c r="S248" i="8"/>
  <c r="P248" i="8"/>
  <c r="M248" i="8"/>
  <c r="L248" i="8"/>
  <c r="O248" i="8" s="1"/>
  <c r="N248" i="8"/>
  <c r="K248" i="8"/>
  <c r="E193" i="7" s="1"/>
  <c r="J248" i="8"/>
  <c r="I248" i="8"/>
  <c r="H248" i="8"/>
  <c r="G248" i="8"/>
  <c r="F248" i="8"/>
  <c r="E248" i="8"/>
  <c r="U247" i="8"/>
  <c r="R247" i="8"/>
  <c r="Q247" i="8"/>
  <c r="T247" i="8" s="1"/>
  <c r="S247" i="8"/>
  <c r="P247" i="8"/>
  <c r="O247" i="8"/>
  <c r="M247" i="8"/>
  <c r="F195" i="7" s="1"/>
  <c r="L247" i="8"/>
  <c r="N247" i="8"/>
  <c r="K247" i="8"/>
  <c r="E195" i="7" s="1"/>
  <c r="J247" i="8"/>
  <c r="I247" i="8"/>
  <c r="D195" i="7" s="1"/>
  <c r="H247" i="8"/>
  <c r="G247" i="8"/>
  <c r="F247" i="8"/>
  <c r="E247" i="8"/>
  <c r="U246" i="8"/>
  <c r="T246" i="8"/>
  <c r="R246" i="8"/>
  <c r="Q246" i="8"/>
  <c r="S246" i="8"/>
  <c r="P246" i="8"/>
  <c r="O246" i="8"/>
  <c r="M246" i="8"/>
  <c r="L246" i="8"/>
  <c r="N246" i="8"/>
  <c r="K246" i="8"/>
  <c r="E197" i="7" s="1"/>
  <c r="J246" i="8"/>
  <c r="I246" i="8"/>
  <c r="H246" i="8"/>
  <c r="G246" i="8"/>
  <c r="F246" i="8"/>
  <c r="E246" i="8"/>
  <c r="U245" i="8"/>
  <c r="T245" i="8"/>
  <c r="R245" i="8"/>
  <c r="Q245" i="8"/>
  <c r="S245" i="8"/>
  <c r="P245" i="8"/>
  <c r="L245" i="8"/>
  <c r="N245" i="8"/>
  <c r="K245" i="8"/>
  <c r="E213" i="7" s="1"/>
  <c r="J245" i="8"/>
  <c r="I245" i="8"/>
  <c r="D213" i="7" s="1"/>
  <c r="H245" i="8"/>
  <c r="G245" i="8"/>
  <c r="F245" i="8"/>
  <c r="E245" i="8"/>
  <c r="U244" i="8"/>
  <c r="Q244" i="8"/>
  <c r="S244" i="8"/>
  <c r="P244" i="8"/>
  <c r="M244" i="8"/>
  <c r="F214" i="7" s="1"/>
  <c r="L244" i="8"/>
  <c r="O244" i="8" s="1"/>
  <c r="N244" i="8"/>
  <c r="K244" i="8"/>
  <c r="E214" i="7" s="1"/>
  <c r="J244" i="8"/>
  <c r="I244" i="8"/>
  <c r="D214" i="7" s="1"/>
  <c r="H244" i="8"/>
  <c r="G244" i="8"/>
  <c r="F244" i="8"/>
  <c r="E244" i="8"/>
  <c r="U243" i="8"/>
  <c r="R243" i="8"/>
  <c r="Q243" i="8"/>
  <c r="T243" i="8" s="1"/>
  <c r="S243" i="8"/>
  <c r="P243" i="8"/>
  <c r="O243" i="8"/>
  <c r="M243" i="8"/>
  <c r="F217" i="7" s="1"/>
  <c r="L243" i="8"/>
  <c r="N243" i="8"/>
  <c r="K243" i="8"/>
  <c r="E217" i="7" s="1"/>
  <c r="J243" i="8"/>
  <c r="I243" i="8"/>
  <c r="D217" i="7" s="1"/>
  <c r="H243" i="8"/>
  <c r="G243" i="8"/>
  <c r="F243" i="8"/>
  <c r="E243" i="8"/>
  <c r="U242" i="8"/>
  <c r="T242" i="8"/>
  <c r="R242" i="8"/>
  <c r="Q242" i="8"/>
  <c r="S242" i="8"/>
  <c r="P242" i="8"/>
  <c r="O242" i="8"/>
  <c r="M242" i="8"/>
  <c r="F218" i="7" s="1"/>
  <c r="L242" i="8"/>
  <c r="N242" i="8"/>
  <c r="K242" i="8"/>
  <c r="E218" i="7" s="1"/>
  <c r="J242" i="8"/>
  <c r="I242" i="8"/>
  <c r="D218" i="7" s="1"/>
  <c r="H242" i="8"/>
  <c r="G242" i="8"/>
  <c r="F242" i="8"/>
  <c r="E242" i="8"/>
  <c r="U241" i="8"/>
  <c r="T241" i="8"/>
  <c r="R241" i="8"/>
  <c r="Q241" i="8"/>
  <c r="S241" i="8"/>
  <c r="P241" i="8"/>
  <c r="L241" i="8"/>
  <c r="N241" i="8"/>
  <c r="K241" i="8"/>
  <c r="E220" i="7" s="1"/>
  <c r="J241" i="8"/>
  <c r="I241" i="8"/>
  <c r="D220" i="7" s="1"/>
  <c r="H241" i="8"/>
  <c r="G241" i="8"/>
  <c r="F241" i="8"/>
  <c r="E241" i="8"/>
  <c r="U240" i="8"/>
  <c r="Q240" i="8"/>
  <c r="S240" i="8"/>
  <c r="P240" i="8"/>
  <c r="M240" i="8"/>
  <c r="F221" i="7" s="1"/>
  <c r="L240" i="8"/>
  <c r="O240" i="8" s="1"/>
  <c r="N240" i="8"/>
  <c r="K240" i="8"/>
  <c r="E221" i="7" s="1"/>
  <c r="J240" i="8"/>
  <c r="I240" i="8"/>
  <c r="D221" i="7" s="1"/>
  <c r="H240" i="8"/>
  <c r="G240" i="8"/>
  <c r="F240" i="8"/>
  <c r="E240" i="8"/>
  <c r="U239" i="8"/>
  <c r="R239" i="8"/>
  <c r="Q239" i="8"/>
  <c r="T239" i="8" s="1"/>
  <c r="S239" i="8"/>
  <c r="P239" i="8"/>
  <c r="O239" i="8"/>
  <c r="M239" i="8"/>
  <c r="F222" i="7" s="1"/>
  <c r="L239" i="8"/>
  <c r="N239" i="8"/>
  <c r="K239" i="8"/>
  <c r="E222" i="7" s="1"/>
  <c r="J239" i="8"/>
  <c r="I239" i="8"/>
  <c r="D222" i="7" s="1"/>
  <c r="H239" i="8"/>
  <c r="G239" i="8"/>
  <c r="F239" i="8"/>
  <c r="E239" i="8"/>
  <c r="U238" i="8"/>
  <c r="T238" i="8"/>
  <c r="R238" i="8"/>
  <c r="Q238" i="8"/>
  <c r="S238" i="8"/>
  <c r="P238" i="8"/>
  <c r="O238" i="8"/>
  <c r="M238" i="8"/>
  <c r="F228" i="7" s="1"/>
  <c r="L238" i="8"/>
  <c r="N238" i="8"/>
  <c r="K238" i="8"/>
  <c r="E228" i="7" s="1"/>
  <c r="J238" i="8"/>
  <c r="I238" i="8"/>
  <c r="D228" i="7" s="1"/>
  <c r="H238" i="8"/>
  <c r="G238" i="8"/>
  <c r="F238" i="8"/>
  <c r="E238" i="8"/>
  <c r="U237" i="8"/>
  <c r="T237" i="8"/>
  <c r="R237" i="8"/>
  <c r="Q237" i="8"/>
  <c r="S237" i="8"/>
  <c r="P237" i="8"/>
  <c r="L237" i="8"/>
  <c r="N237" i="8"/>
  <c r="K237" i="8"/>
  <c r="E229" i="7" s="1"/>
  <c r="J237" i="8"/>
  <c r="I237" i="8"/>
  <c r="D229" i="7" s="1"/>
  <c r="H237" i="8"/>
  <c r="G237" i="8"/>
  <c r="F237" i="8"/>
  <c r="E237" i="8"/>
  <c r="U236" i="8"/>
  <c r="Q236" i="8"/>
  <c r="S236" i="8"/>
  <c r="P236" i="8"/>
  <c r="M236" i="8"/>
  <c r="F230" i="7" s="1"/>
  <c r="L236" i="8"/>
  <c r="O236" i="8" s="1"/>
  <c r="N236" i="8"/>
  <c r="K236" i="8"/>
  <c r="E230" i="7" s="1"/>
  <c r="J236" i="8"/>
  <c r="I236" i="8"/>
  <c r="D230" i="7" s="1"/>
  <c r="H236" i="8"/>
  <c r="G236" i="8"/>
  <c r="F236" i="8"/>
  <c r="E236" i="8"/>
  <c r="U235" i="8"/>
  <c r="R235" i="8"/>
  <c r="Q235" i="8"/>
  <c r="T235" i="8" s="1"/>
  <c r="S235" i="8"/>
  <c r="P235" i="8"/>
  <c r="O235" i="8"/>
  <c r="M235" i="8"/>
  <c r="F225" i="7" s="1"/>
  <c r="L235" i="8"/>
  <c r="N235" i="8"/>
  <c r="K235" i="8"/>
  <c r="E225" i="7" s="1"/>
  <c r="J235" i="8"/>
  <c r="I235" i="8"/>
  <c r="D225" i="7" s="1"/>
  <c r="H235" i="8"/>
  <c r="G235" i="8"/>
  <c r="F235" i="8"/>
  <c r="E235" i="8"/>
  <c r="U234" i="8"/>
  <c r="T234" i="8"/>
  <c r="R234" i="8"/>
  <c r="Q234" i="8"/>
  <c r="S234" i="8"/>
  <c r="P234" i="8"/>
  <c r="O234" i="8"/>
  <c r="M234" i="8"/>
  <c r="F226" i="7" s="1"/>
  <c r="L234" i="8"/>
  <c r="N234" i="8"/>
  <c r="K234" i="8"/>
  <c r="E226" i="7" s="1"/>
  <c r="J234" i="8"/>
  <c r="I234" i="8"/>
  <c r="D226" i="7" s="1"/>
  <c r="H234" i="8"/>
  <c r="G234" i="8"/>
  <c r="F234" i="8"/>
  <c r="E234" i="8"/>
  <c r="U233" i="8"/>
  <c r="T233" i="8"/>
  <c r="R233" i="8"/>
  <c r="Q233" i="8"/>
  <c r="S233" i="8"/>
  <c r="P233" i="8"/>
  <c r="L233" i="8"/>
  <c r="N233" i="8"/>
  <c r="K233" i="8"/>
  <c r="J233" i="8"/>
  <c r="I233" i="8"/>
  <c r="H233" i="8"/>
  <c r="G233" i="8"/>
  <c r="F233" i="8"/>
  <c r="E233" i="8"/>
  <c r="U232" i="8"/>
  <c r="Q232" i="8"/>
  <c r="S232" i="8"/>
  <c r="P232" i="8"/>
  <c r="M232" i="8"/>
  <c r="L232" i="8"/>
  <c r="O232" i="8" s="1"/>
  <c r="N232" i="8"/>
  <c r="K232" i="8"/>
  <c r="J232" i="8"/>
  <c r="I232" i="8"/>
  <c r="H232" i="8"/>
  <c r="G232" i="8"/>
  <c r="F232" i="8"/>
  <c r="E232" i="8"/>
  <c r="U231" i="8"/>
  <c r="R231" i="8"/>
  <c r="Q231" i="8"/>
  <c r="T231" i="8" s="1"/>
  <c r="S231" i="8"/>
  <c r="P231" i="8"/>
  <c r="O231" i="8"/>
  <c r="M231" i="8"/>
  <c r="L231" i="8"/>
  <c r="N231" i="8"/>
  <c r="K231" i="8"/>
  <c r="J231" i="8"/>
  <c r="I231" i="8"/>
  <c r="H231" i="8"/>
  <c r="G231" i="8"/>
  <c r="F231" i="8"/>
  <c r="E231" i="8"/>
  <c r="U230" i="8"/>
  <c r="T230" i="8"/>
  <c r="R230" i="8"/>
  <c r="Q230" i="8"/>
  <c r="S230" i="8"/>
  <c r="P230" i="8"/>
  <c r="O230" i="8"/>
  <c r="M230" i="8"/>
  <c r="L230" i="8"/>
  <c r="N230" i="8"/>
  <c r="K230" i="8"/>
  <c r="J230" i="8"/>
  <c r="I230" i="8"/>
  <c r="H230" i="8"/>
  <c r="G230" i="8"/>
  <c r="F230" i="8"/>
  <c r="E230" i="8"/>
  <c r="U229" i="8"/>
  <c r="T229" i="8"/>
  <c r="R229" i="8"/>
  <c r="Q229" i="8"/>
  <c r="S229" i="8"/>
  <c r="P229" i="8"/>
  <c r="L229" i="8"/>
  <c r="N229" i="8"/>
  <c r="K229" i="8"/>
  <c r="J229" i="8"/>
  <c r="I229" i="8"/>
  <c r="H229" i="8"/>
  <c r="G229" i="8"/>
  <c r="F229" i="8"/>
  <c r="E229" i="8"/>
  <c r="U228" i="8"/>
  <c r="Q228" i="8"/>
  <c r="S228" i="8"/>
  <c r="P228" i="8"/>
  <c r="M228" i="8"/>
  <c r="L228" i="8"/>
  <c r="O228" i="8" s="1"/>
  <c r="N228" i="8"/>
  <c r="K228" i="8"/>
  <c r="J228" i="8"/>
  <c r="I228" i="8"/>
  <c r="H228" i="8"/>
  <c r="G228" i="8"/>
  <c r="F228" i="8"/>
  <c r="E228" i="8"/>
  <c r="U227" i="8"/>
  <c r="R227" i="8"/>
  <c r="Q227" i="8"/>
  <c r="T227" i="8" s="1"/>
  <c r="S227" i="8"/>
  <c r="P227" i="8"/>
  <c r="O227" i="8"/>
  <c r="M227" i="8"/>
  <c r="L227" i="8"/>
  <c r="N227" i="8"/>
  <c r="K227" i="8"/>
  <c r="J227" i="8"/>
  <c r="I227" i="8"/>
  <c r="H227" i="8"/>
  <c r="G227" i="8"/>
  <c r="F227" i="8"/>
  <c r="E227" i="8"/>
  <c r="U226" i="8"/>
  <c r="T226" i="8"/>
  <c r="S226" i="8"/>
  <c r="P226" i="8"/>
  <c r="N226" i="8"/>
  <c r="K226" i="8"/>
  <c r="E207" i="7" s="1"/>
  <c r="I226" i="8"/>
  <c r="O226" i="8" s="1"/>
  <c r="H226" i="8"/>
  <c r="G226" i="8"/>
  <c r="F226" i="8"/>
  <c r="E226" i="8"/>
  <c r="D226" i="8"/>
  <c r="A226" i="8"/>
  <c r="U225" i="8"/>
  <c r="S225" i="8"/>
  <c r="P225" i="8"/>
  <c r="O225" i="8"/>
  <c r="N225" i="8"/>
  <c r="K225" i="8"/>
  <c r="I225" i="8"/>
  <c r="H225" i="8"/>
  <c r="G225" i="8"/>
  <c r="F225" i="8"/>
  <c r="E225" i="8"/>
  <c r="D225" i="8"/>
  <c r="A225" i="8"/>
  <c r="U224" i="8"/>
  <c r="T224" i="8"/>
  <c r="R224" i="8"/>
  <c r="Q224" i="8"/>
  <c r="S224" i="8"/>
  <c r="P224" i="8"/>
  <c r="O224" i="8"/>
  <c r="M224" i="8"/>
  <c r="F192" i="7" s="1"/>
  <c r="L224" i="8"/>
  <c r="N224" i="8"/>
  <c r="K224" i="8"/>
  <c r="E192" i="7" s="1"/>
  <c r="J224" i="8"/>
  <c r="I224" i="8"/>
  <c r="D192" i="7" s="1"/>
  <c r="H224" i="8"/>
  <c r="G224" i="8"/>
  <c r="F224" i="8"/>
  <c r="E224" i="8"/>
  <c r="U223" i="8"/>
  <c r="T223" i="8"/>
  <c r="R223" i="8"/>
  <c r="Q223" i="8"/>
  <c r="S223" i="8"/>
  <c r="P223" i="8"/>
  <c r="L223" i="8"/>
  <c r="N223" i="8"/>
  <c r="K223" i="8"/>
  <c r="J223" i="8"/>
  <c r="I223" i="8"/>
  <c r="H223" i="8"/>
  <c r="G223" i="8"/>
  <c r="F223" i="8"/>
  <c r="E223" i="8"/>
  <c r="U222" i="8"/>
  <c r="Q222" i="8"/>
  <c r="S222" i="8"/>
  <c r="P222" i="8"/>
  <c r="M222" i="8"/>
  <c r="F198" i="7" s="1"/>
  <c r="L222" i="8"/>
  <c r="O222" i="8" s="1"/>
  <c r="N222" i="8"/>
  <c r="K222" i="8"/>
  <c r="E198" i="7" s="1"/>
  <c r="J222" i="8"/>
  <c r="I222" i="8"/>
  <c r="D198" i="7" s="1"/>
  <c r="H222" i="8"/>
  <c r="G222" i="8"/>
  <c r="F222" i="8"/>
  <c r="E222" i="8"/>
  <c r="U221" i="8"/>
  <c r="R221" i="8"/>
  <c r="Q221" i="8"/>
  <c r="T221" i="8" s="1"/>
  <c r="S221" i="8"/>
  <c r="P221" i="8"/>
  <c r="O221" i="8"/>
  <c r="M221" i="8"/>
  <c r="F199" i="7" s="1"/>
  <c r="L221" i="8"/>
  <c r="N221" i="8"/>
  <c r="K221" i="8"/>
  <c r="E199" i="7" s="1"/>
  <c r="J221" i="8"/>
  <c r="I221" i="8"/>
  <c r="D199" i="7" s="1"/>
  <c r="H221" i="8"/>
  <c r="G221" i="8"/>
  <c r="F221" i="8"/>
  <c r="E221" i="8"/>
  <c r="U220" i="8"/>
  <c r="T220" i="8"/>
  <c r="R220" i="8"/>
  <c r="Q220" i="8"/>
  <c r="S220" i="8"/>
  <c r="P220" i="8"/>
  <c r="O220" i="8"/>
  <c r="M220" i="8"/>
  <c r="F200" i="7" s="1"/>
  <c r="L220" i="8"/>
  <c r="N220" i="8"/>
  <c r="K220" i="8"/>
  <c r="E200" i="7" s="1"/>
  <c r="J220" i="8"/>
  <c r="I220" i="8"/>
  <c r="D200" i="7" s="1"/>
  <c r="H220" i="8"/>
  <c r="G220" i="8"/>
  <c r="F220" i="8"/>
  <c r="E220" i="8"/>
  <c r="U219" i="8"/>
  <c r="T219" i="8"/>
  <c r="R219" i="8"/>
  <c r="Q219" i="8"/>
  <c r="S219" i="8"/>
  <c r="P219" i="8"/>
  <c r="L219" i="8"/>
  <c r="N219" i="8"/>
  <c r="K219" i="8"/>
  <c r="J219" i="8"/>
  <c r="I219" i="8"/>
  <c r="H219" i="8"/>
  <c r="G219" i="8"/>
  <c r="F219" i="8"/>
  <c r="E219" i="8"/>
  <c r="U218" i="8"/>
  <c r="Q218" i="8"/>
  <c r="S218" i="8"/>
  <c r="P218" i="8"/>
  <c r="M218" i="8"/>
  <c r="F204" i="7" s="1"/>
  <c r="L218" i="8"/>
  <c r="O218" i="8" s="1"/>
  <c r="N218" i="8"/>
  <c r="K218" i="8"/>
  <c r="E204" i="7" s="1"/>
  <c r="J218" i="8"/>
  <c r="I218" i="8"/>
  <c r="D204" i="7" s="1"/>
  <c r="H218" i="8"/>
  <c r="G218" i="8"/>
  <c r="F218" i="8"/>
  <c r="E218" i="8"/>
  <c r="U217" i="8"/>
  <c r="R217" i="8"/>
  <c r="Q217" i="8"/>
  <c r="T217" i="8" s="1"/>
  <c r="S217" i="8"/>
  <c r="P217" i="8"/>
  <c r="O217" i="8"/>
  <c r="M217" i="8"/>
  <c r="F211" i="7" s="1"/>
  <c r="L217" i="8"/>
  <c r="N217" i="8"/>
  <c r="K217" i="8"/>
  <c r="E211" i="7" s="1"/>
  <c r="J217" i="8"/>
  <c r="I217" i="8"/>
  <c r="D211" i="7" s="1"/>
  <c r="H217" i="8"/>
  <c r="G217" i="8"/>
  <c r="F217" i="8"/>
  <c r="E217" i="8"/>
  <c r="U216" i="8"/>
  <c r="T216" i="8"/>
  <c r="R216" i="8"/>
  <c r="Q216" i="8"/>
  <c r="S216" i="8"/>
  <c r="P216" i="8"/>
  <c r="O216" i="8"/>
  <c r="M216" i="8"/>
  <c r="F212" i="7" s="1"/>
  <c r="L216" i="8"/>
  <c r="N216" i="8"/>
  <c r="K216" i="8"/>
  <c r="E212" i="7" s="1"/>
  <c r="J216" i="8"/>
  <c r="I216" i="8"/>
  <c r="D212" i="7" s="1"/>
  <c r="H216" i="8"/>
  <c r="G216" i="8"/>
  <c r="F216" i="8"/>
  <c r="E216" i="8"/>
  <c r="U215" i="8"/>
  <c r="T215" i="8"/>
  <c r="R215" i="8"/>
  <c r="Q215" i="8"/>
  <c r="S215" i="8"/>
  <c r="P215" i="8"/>
  <c r="L215" i="8"/>
  <c r="N215" i="8"/>
  <c r="K215" i="8"/>
  <c r="E215" i="7" s="1"/>
  <c r="J215" i="8"/>
  <c r="I215" i="8"/>
  <c r="D215" i="7" s="1"/>
  <c r="H215" i="8"/>
  <c r="G215" i="8"/>
  <c r="F215" i="8"/>
  <c r="E215" i="8"/>
  <c r="U214" i="8"/>
  <c r="Q214" i="8"/>
  <c r="S214" i="8"/>
  <c r="P214" i="8"/>
  <c r="M214" i="8"/>
  <c r="F219" i="7" s="1"/>
  <c r="L214" i="8"/>
  <c r="O214" i="8" s="1"/>
  <c r="N214" i="8"/>
  <c r="K214" i="8"/>
  <c r="E219" i="7" s="1"/>
  <c r="J214" i="8"/>
  <c r="I214" i="8"/>
  <c r="D219" i="7" s="1"/>
  <c r="H214" i="8"/>
  <c r="G214" i="8"/>
  <c r="F214" i="8"/>
  <c r="E214" i="8"/>
  <c r="U213" i="8"/>
  <c r="R213" i="8"/>
  <c r="Q213" i="8"/>
  <c r="T213" i="8" s="1"/>
  <c r="S213" i="8"/>
  <c r="P213" i="8"/>
  <c r="O213" i="8"/>
  <c r="M213" i="8"/>
  <c r="L213" i="8"/>
  <c r="N213" i="8"/>
  <c r="K213" i="8"/>
  <c r="J213" i="8"/>
  <c r="I213" i="8"/>
  <c r="H213" i="8"/>
  <c r="G213" i="8"/>
  <c r="F213" i="8"/>
  <c r="E213" i="8"/>
  <c r="U212" i="8"/>
  <c r="T212" i="8"/>
  <c r="R212" i="8"/>
  <c r="Q212" i="8"/>
  <c r="S212" i="8"/>
  <c r="P212" i="8"/>
  <c r="O212" i="8"/>
  <c r="M212" i="8"/>
  <c r="F223" i="7" s="1"/>
  <c r="L212" i="8"/>
  <c r="N212" i="8"/>
  <c r="K212" i="8"/>
  <c r="E223" i="7" s="1"/>
  <c r="J212" i="8"/>
  <c r="I212" i="8"/>
  <c r="D223" i="7" s="1"/>
  <c r="H212" i="8"/>
  <c r="G212" i="8"/>
  <c r="F212" i="8"/>
  <c r="E212" i="8"/>
  <c r="U211" i="8"/>
  <c r="T211" i="8"/>
  <c r="R211" i="8"/>
  <c r="Q211" i="8"/>
  <c r="S211" i="8"/>
  <c r="P211" i="8"/>
  <c r="L211" i="8"/>
  <c r="N211" i="8"/>
  <c r="K211" i="8"/>
  <c r="E224" i="7" s="1"/>
  <c r="J211" i="8"/>
  <c r="I211" i="8"/>
  <c r="D224" i="7" s="1"/>
  <c r="H211" i="8"/>
  <c r="G211" i="8"/>
  <c r="F211" i="8"/>
  <c r="E211" i="8"/>
  <c r="U210" i="8"/>
  <c r="S210" i="8"/>
  <c r="R210" i="8"/>
  <c r="P210" i="8"/>
  <c r="N210" i="8"/>
  <c r="M210" i="8"/>
  <c r="F206" i="7" s="1"/>
  <c r="K210" i="8"/>
  <c r="E206" i="7" s="1"/>
  <c r="I210" i="8"/>
  <c r="D206" i="7" s="1"/>
  <c r="H210" i="8"/>
  <c r="G210" i="8"/>
  <c r="F210" i="8"/>
  <c r="E210" i="8"/>
  <c r="D210" i="8"/>
  <c r="A210" i="8"/>
  <c r="U209" i="8"/>
  <c r="S209" i="8"/>
  <c r="R209" i="8"/>
  <c r="P209" i="8"/>
  <c r="N209" i="8"/>
  <c r="M209" i="8"/>
  <c r="F208" i="7" s="1"/>
  <c r="K209" i="8"/>
  <c r="E208" i="7" s="1"/>
  <c r="I209" i="8"/>
  <c r="D208" i="7" s="1"/>
  <c r="H209" i="8"/>
  <c r="G209" i="8"/>
  <c r="F209" i="8"/>
  <c r="E209" i="8"/>
  <c r="D209" i="8"/>
  <c r="A209" i="8"/>
  <c r="U208" i="8"/>
  <c r="S208" i="8"/>
  <c r="R208" i="8"/>
  <c r="P208" i="8"/>
  <c r="N208" i="8"/>
  <c r="M208" i="8"/>
  <c r="K208" i="8"/>
  <c r="I208" i="8"/>
  <c r="T208" i="8" s="1"/>
  <c r="H208" i="8"/>
  <c r="G208" i="8"/>
  <c r="F208" i="8"/>
  <c r="E208" i="8"/>
  <c r="D208" i="8"/>
  <c r="A208" i="8"/>
  <c r="U207" i="8"/>
  <c r="Q207" i="8"/>
  <c r="S207" i="8"/>
  <c r="P207" i="8"/>
  <c r="M207" i="8"/>
  <c r="L207" i="8"/>
  <c r="O207" i="8" s="1"/>
  <c r="N207" i="8"/>
  <c r="K207" i="8"/>
  <c r="E191" i="7" s="1"/>
  <c r="J207" i="8"/>
  <c r="I207" i="8"/>
  <c r="H207" i="8"/>
  <c r="G207" i="8"/>
  <c r="F207" i="8"/>
  <c r="E207" i="8"/>
  <c r="U206" i="8"/>
  <c r="R206" i="8"/>
  <c r="Q206" i="8"/>
  <c r="T206" i="8" s="1"/>
  <c r="S206" i="8"/>
  <c r="P206" i="8"/>
  <c r="O206" i="8"/>
  <c r="M206" i="8"/>
  <c r="L206" i="8"/>
  <c r="N206" i="8"/>
  <c r="K206" i="8"/>
  <c r="E194" i="7" s="1"/>
  <c r="J206" i="8"/>
  <c r="I206" i="8"/>
  <c r="H206" i="8"/>
  <c r="G206" i="8"/>
  <c r="F206" i="8"/>
  <c r="E206" i="8"/>
  <c r="U205" i="8"/>
  <c r="T205" i="8"/>
  <c r="R205" i="8"/>
  <c r="Q205" i="8"/>
  <c r="S205" i="8"/>
  <c r="P205" i="8"/>
  <c r="O205" i="8"/>
  <c r="M205" i="8"/>
  <c r="F196" i="7" s="1"/>
  <c r="L205" i="8"/>
  <c r="N205" i="8"/>
  <c r="K205" i="8"/>
  <c r="E196" i="7" s="1"/>
  <c r="J205" i="8"/>
  <c r="I205" i="8"/>
  <c r="D196" i="7" s="1"/>
  <c r="H205" i="8"/>
  <c r="G205" i="8"/>
  <c r="F205" i="8"/>
  <c r="E205" i="8"/>
  <c r="U204" i="8"/>
  <c r="T204" i="8"/>
  <c r="R204" i="8"/>
  <c r="Q204" i="8"/>
  <c r="S204" i="8"/>
  <c r="P204" i="8"/>
  <c r="L204" i="8"/>
  <c r="N204" i="8"/>
  <c r="K204" i="8"/>
  <c r="E203" i="7" s="1"/>
  <c r="J204" i="8"/>
  <c r="I204" i="8"/>
  <c r="D203" i="7" s="1"/>
  <c r="H204" i="8"/>
  <c r="G204" i="8"/>
  <c r="F204" i="8"/>
  <c r="E204" i="8"/>
  <c r="U203" i="8"/>
  <c r="Q203" i="8"/>
  <c r="S203" i="8"/>
  <c r="P203" i="8"/>
  <c r="M203" i="8"/>
  <c r="L203" i="8"/>
  <c r="O203" i="8" s="1"/>
  <c r="N203" i="8"/>
  <c r="K203" i="8"/>
  <c r="E205" i="7" s="1"/>
  <c r="J203" i="8"/>
  <c r="I203" i="8"/>
  <c r="H203" i="8"/>
  <c r="G203" i="8"/>
  <c r="F203" i="8"/>
  <c r="E203" i="8"/>
  <c r="U202" i="8"/>
  <c r="R202" i="8"/>
  <c r="Q202" i="8"/>
  <c r="T202" i="8" s="1"/>
  <c r="S202" i="8"/>
  <c r="P202" i="8"/>
  <c r="O202" i="8"/>
  <c r="M202" i="8"/>
  <c r="L202" i="8"/>
  <c r="N202" i="8"/>
  <c r="K202" i="8"/>
  <c r="E216" i="7" s="1"/>
  <c r="J202" i="8"/>
  <c r="I202" i="8"/>
  <c r="D216" i="7" s="1"/>
  <c r="H202" i="8"/>
  <c r="G202" i="8"/>
  <c r="F202" i="8"/>
  <c r="E202" i="8"/>
  <c r="U201" i="8"/>
  <c r="T201" i="8"/>
  <c r="R201" i="8"/>
  <c r="Q201" i="8"/>
  <c r="S201" i="8"/>
  <c r="P201" i="8"/>
  <c r="O201" i="8"/>
  <c r="M201" i="8"/>
  <c r="F231" i="7" s="1"/>
  <c r="L201" i="8"/>
  <c r="N201" i="8"/>
  <c r="K201" i="8"/>
  <c r="E231" i="7" s="1"/>
  <c r="J201" i="8"/>
  <c r="I201" i="8"/>
  <c r="D231" i="7" s="1"/>
  <c r="H201" i="8"/>
  <c r="G201" i="8"/>
  <c r="F201" i="8"/>
  <c r="E201" i="8"/>
  <c r="G200" i="8"/>
  <c r="A200" i="8"/>
  <c r="U199" i="8"/>
  <c r="R199" i="8"/>
  <c r="Q199" i="8"/>
  <c r="T199" i="8" s="1"/>
  <c r="S199" i="8"/>
  <c r="P199" i="8"/>
  <c r="O199" i="8"/>
  <c r="M199" i="8"/>
  <c r="F186" i="7" s="1"/>
  <c r="E187" i="7" s="1"/>
  <c r="L199" i="8"/>
  <c r="N199" i="8"/>
  <c r="K199" i="8"/>
  <c r="E186" i="7" s="1"/>
  <c r="J199" i="8"/>
  <c r="I199" i="8"/>
  <c r="D186" i="7" s="1"/>
  <c r="H199" i="8"/>
  <c r="G199" i="8"/>
  <c r="F199" i="8"/>
  <c r="E199" i="8"/>
  <c r="G198" i="8"/>
  <c r="A198" i="8"/>
  <c r="G197" i="8"/>
  <c r="A197" i="8"/>
  <c r="U196" i="8"/>
  <c r="T196" i="8"/>
  <c r="R196" i="8"/>
  <c r="Q196" i="8"/>
  <c r="S196" i="8"/>
  <c r="P196" i="8"/>
  <c r="O196" i="8"/>
  <c r="M196" i="8"/>
  <c r="L196" i="8"/>
  <c r="N196" i="8"/>
  <c r="K196" i="8"/>
  <c r="J196" i="8"/>
  <c r="I196" i="8"/>
  <c r="H196" i="8"/>
  <c r="G196" i="8"/>
  <c r="F196" i="8"/>
  <c r="E196" i="8"/>
  <c r="U195" i="8"/>
  <c r="T195" i="8"/>
  <c r="R195" i="8"/>
  <c r="Q195" i="8"/>
  <c r="S195" i="8"/>
  <c r="P195" i="8"/>
  <c r="L195" i="8"/>
  <c r="N195" i="8"/>
  <c r="K195" i="8"/>
  <c r="J195" i="8"/>
  <c r="I195" i="8"/>
  <c r="H195" i="8"/>
  <c r="G195" i="8"/>
  <c r="F195" i="8"/>
  <c r="E195" i="8"/>
  <c r="U194" i="8"/>
  <c r="Q194" i="8"/>
  <c r="S194" i="8"/>
  <c r="P194" i="8"/>
  <c r="M194" i="8"/>
  <c r="L194" i="8"/>
  <c r="O194" i="8" s="1"/>
  <c r="N194" i="8"/>
  <c r="K194" i="8"/>
  <c r="J194" i="8"/>
  <c r="I194" i="8"/>
  <c r="H194" i="8"/>
  <c r="G194" i="8"/>
  <c r="F194" i="8"/>
  <c r="E194" i="8"/>
  <c r="U193" i="8"/>
  <c r="R193" i="8"/>
  <c r="Q193" i="8"/>
  <c r="T193" i="8" s="1"/>
  <c r="S193" i="8"/>
  <c r="P193" i="8"/>
  <c r="O193" i="8"/>
  <c r="M193" i="8"/>
  <c r="L193" i="8"/>
  <c r="N193" i="8"/>
  <c r="K193" i="8"/>
  <c r="J193" i="8"/>
  <c r="I193" i="8"/>
  <c r="H193" i="8"/>
  <c r="G193" i="8"/>
  <c r="F193" i="8"/>
  <c r="E193" i="8"/>
  <c r="U192" i="8"/>
  <c r="T192" i="8"/>
  <c r="R192" i="8"/>
  <c r="Q192" i="8"/>
  <c r="S192" i="8"/>
  <c r="P192" i="8"/>
  <c r="O192" i="8"/>
  <c r="M192" i="8"/>
  <c r="F168" i="7" s="1"/>
  <c r="L192" i="8"/>
  <c r="N192" i="8"/>
  <c r="K192" i="8"/>
  <c r="E168" i="7" s="1"/>
  <c r="J192" i="8"/>
  <c r="I192" i="8"/>
  <c r="D168" i="7" s="1"/>
  <c r="H192" i="8"/>
  <c r="G192" i="8"/>
  <c r="F192" i="8"/>
  <c r="E192" i="8"/>
  <c r="U191" i="8"/>
  <c r="T191" i="8"/>
  <c r="R191" i="8"/>
  <c r="Q191" i="8"/>
  <c r="S191" i="8"/>
  <c r="P191" i="8"/>
  <c r="L191" i="8"/>
  <c r="N191" i="8"/>
  <c r="K191" i="8"/>
  <c r="J191" i="8"/>
  <c r="I191" i="8"/>
  <c r="H191" i="8"/>
  <c r="G191" i="8"/>
  <c r="F191" i="8"/>
  <c r="E191" i="8"/>
  <c r="U190" i="8"/>
  <c r="Q190" i="8"/>
  <c r="S190" i="8"/>
  <c r="P190" i="8"/>
  <c r="M190" i="8"/>
  <c r="F176" i="7" s="1"/>
  <c r="L190" i="8"/>
  <c r="O190" i="8" s="1"/>
  <c r="N190" i="8"/>
  <c r="K190" i="8"/>
  <c r="E176" i="7" s="1"/>
  <c r="J190" i="8"/>
  <c r="I190" i="8"/>
  <c r="D176" i="7" s="1"/>
  <c r="H190" i="8"/>
  <c r="G190" i="8"/>
  <c r="F190" i="8"/>
  <c r="E190" i="8"/>
  <c r="U189" i="8"/>
  <c r="R189" i="8"/>
  <c r="Q189" i="8"/>
  <c r="T189" i="8" s="1"/>
  <c r="S189" i="8"/>
  <c r="P189" i="8"/>
  <c r="O189" i="8"/>
  <c r="M189" i="8"/>
  <c r="F178" i="7" s="1"/>
  <c r="L189" i="8"/>
  <c r="N189" i="8"/>
  <c r="K189" i="8"/>
  <c r="E178" i="7" s="1"/>
  <c r="J189" i="8"/>
  <c r="I189" i="8"/>
  <c r="D178" i="7" s="1"/>
  <c r="H189" i="8"/>
  <c r="G189" i="8"/>
  <c r="F189" i="8"/>
  <c r="E189" i="8"/>
  <c r="U188" i="8"/>
  <c r="T188" i="8"/>
  <c r="R188" i="8"/>
  <c r="Q188" i="8"/>
  <c r="S188" i="8"/>
  <c r="P188" i="8"/>
  <c r="O188" i="8"/>
  <c r="M188" i="8"/>
  <c r="L188" i="8"/>
  <c r="N188" i="8"/>
  <c r="K188" i="8"/>
  <c r="E180" i="7" s="1"/>
  <c r="J188" i="8"/>
  <c r="I188" i="8"/>
  <c r="H188" i="8"/>
  <c r="G188" i="8"/>
  <c r="F188" i="8"/>
  <c r="E188" i="8"/>
  <c r="U187" i="8"/>
  <c r="T187" i="8"/>
  <c r="R187" i="8"/>
  <c r="Q187" i="8"/>
  <c r="S187" i="8"/>
  <c r="P187" i="8"/>
  <c r="L187" i="8"/>
  <c r="N187" i="8"/>
  <c r="K187" i="8"/>
  <c r="J187" i="8"/>
  <c r="I187" i="8"/>
  <c r="H187" i="8"/>
  <c r="G187" i="8"/>
  <c r="F187" i="8"/>
  <c r="E187" i="8"/>
  <c r="U186" i="8"/>
  <c r="Q186" i="8"/>
  <c r="S186" i="8"/>
  <c r="P186" i="8"/>
  <c r="M186" i="8"/>
  <c r="L186" i="8"/>
  <c r="O186" i="8" s="1"/>
  <c r="N186" i="8"/>
  <c r="K186" i="8"/>
  <c r="J186" i="8"/>
  <c r="I186" i="8"/>
  <c r="H186" i="8"/>
  <c r="G186" i="8"/>
  <c r="F186" i="8"/>
  <c r="E186" i="8"/>
  <c r="U185" i="8"/>
  <c r="R185" i="8"/>
  <c r="Q185" i="8"/>
  <c r="T185" i="8" s="1"/>
  <c r="S185" i="8"/>
  <c r="P185" i="8"/>
  <c r="O185" i="8"/>
  <c r="M185" i="8"/>
  <c r="F173" i="7" s="1"/>
  <c r="L185" i="8"/>
  <c r="N185" i="8"/>
  <c r="K185" i="8"/>
  <c r="E173" i="7" s="1"/>
  <c r="J185" i="8"/>
  <c r="I185" i="8"/>
  <c r="D173" i="7" s="1"/>
  <c r="H185" i="8"/>
  <c r="G185" i="8"/>
  <c r="F185" i="8"/>
  <c r="E185" i="8"/>
  <c r="U184" i="8"/>
  <c r="T184" i="8"/>
  <c r="R184" i="8"/>
  <c r="Q184" i="8"/>
  <c r="S184" i="8"/>
  <c r="P184" i="8"/>
  <c r="O184" i="8"/>
  <c r="M184" i="8"/>
  <c r="F174" i="7" s="1"/>
  <c r="L184" i="8"/>
  <c r="N184" i="8"/>
  <c r="K184" i="8"/>
  <c r="E174" i="7" s="1"/>
  <c r="J184" i="8"/>
  <c r="I184" i="8"/>
  <c r="D174" i="7" s="1"/>
  <c r="H184" i="8"/>
  <c r="G184" i="8"/>
  <c r="F184" i="8"/>
  <c r="E184" i="8"/>
  <c r="U183" i="8"/>
  <c r="T183" i="8"/>
  <c r="R183" i="8"/>
  <c r="Q183" i="8"/>
  <c r="S183" i="8"/>
  <c r="P183" i="8"/>
  <c r="L183" i="8"/>
  <c r="N183" i="8"/>
  <c r="K183" i="8"/>
  <c r="E175" i="7" s="1"/>
  <c r="J183" i="8"/>
  <c r="I183" i="8"/>
  <c r="D175" i="7" s="1"/>
  <c r="H183" i="8"/>
  <c r="G183" i="8"/>
  <c r="F183" i="8"/>
  <c r="E183" i="8"/>
  <c r="U182" i="8"/>
  <c r="S182" i="8"/>
  <c r="R182" i="8"/>
  <c r="P182" i="8"/>
  <c r="N182" i="8"/>
  <c r="M182" i="8"/>
  <c r="F181" i="7" s="1"/>
  <c r="K182" i="8"/>
  <c r="E181" i="7" s="1"/>
  <c r="I182" i="8"/>
  <c r="D181" i="7" s="1"/>
  <c r="H182" i="8"/>
  <c r="G182" i="8"/>
  <c r="F182" i="8"/>
  <c r="E182" i="8"/>
  <c r="D182" i="8"/>
  <c r="A182" i="8"/>
  <c r="U181" i="8"/>
  <c r="Q181" i="8"/>
  <c r="S181" i="8"/>
  <c r="P181" i="8"/>
  <c r="M181" i="8"/>
  <c r="F177" i="7" s="1"/>
  <c r="L181" i="8"/>
  <c r="O181" i="8" s="1"/>
  <c r="N181" i="8"/>
  <c r="K181" i="8"/>
  <c r="E177" i="7" s="1"/>
  <c r="J181" i="8"/>
  <c r="I181" i="8"/>
  <c r="D177" i="7" s="1"/>
  <c r="H181" i="8"/>
  <c r="G181" i="8"/>
  <c r="F181" i="8"/>
  <c r="E181" i="8"/>
  <c r="U180" i="8"/>
  <c r="R180" i="8"/>
  <c r="Q180" i="8"/>
  <c r="T180" i="8" s="1"/>
  <c r="S180" i="8"/>
  <c r="P180" i="8"/>
  <c r="O180" i="8"/>
  <c r="M180" i="8"/>
  <c r="F179" i="7" s="1"/>
  <c r="L180" i="8"/>
  <c r="N180" i="8"/>
  <c r="K180" i="8"/>
  <c r="E179" i="7" s="1"/>
  <c r="J180" i="8"/>
  <c r="I180" i="8"/>
  <c r="D179" i="7" s="1"/>
  <c r="H180" i="8"/>
  <c r="G180" i="8"/>
  <c r="F180" i="8"/>
  <c r="E180" i="8"/>
  <c r="U179" i="8"/>
  <c r="T179" i="8"/>
  <c r="R179" i="8"/>
  <c r="Q179" i="8"/>
  <c r="S179" i="8"/>
  <c r="P179" i="8"/>
  <c r="O179" i="8"/>
  <c r="M179" i="8"/>
  <c r="L179" i="8"/>
  <c r="N179" i="8"/>
  <c r="K179" i="8"/>
  <c r="J179" i="8"/>
  <c r="I179" i="8"/>
  <c r="H179" i="8"/>
  <c r="G179" i="8"/>
  <c r="F179" i="8"/>
  <c r="E179" i="8"/>
  <c r="U178" i="8"/>
  <c r="T178" i="8"/>
  <c r="R178" i="8"/>
  <c r="Q178" i="8"/>
  <c r="S178" i="8"/>
  <c r="P178" i="8"/>
  <c r="L178" i="8"/>
  <c r="N178" i="8"/>
  <c r="K178" i="8"/>
  <c r="J178" i="8"/>
  <c r="I178" i="8"/>
  <c r="H178" i="8"/>
  <c r="G178" i="8"/>
  <c r="F178" i="8"/>
  <c r="E178" i="8"/>
  <c r="U177" i="8"/>
  <c r="Q177" i="8"/>
  <c r="S177" i="8"/>
  <c r="P177" i="8"/>
  <c r="L177" i="8"/>
  <c r="N177" i="8"/>
  <c r="K177" i="8"/>
  <c r="E172" i="7" s="1"/>
  <c r="J177" i="8"/>
  <c r="I177" i="8"/>
  <c r="D172" i="7" s="1"/>
  <c r="H177" i="8"/>
  <c r="G177" i="8"/>
  <c r="F177" i="8"/>
  <c r="E177" i="8"/>
  <c r="U176" i="8"/>
  <c r="Q176" i="8"/>
  <c r="T176" i="8" s="1"/>
  <c r="S176" i="8"/>
  <c r="P176" i="8"/>
  <c r="O176" i="8"/>
  <c r="M176" i="8"/>
  <c r="L176" i="8"/>
  <c r="N176" i="8"/>
  <c r="K176" i="8"/>
  <c r="E167" i="7" s="1"/>
  <c r="J176" i="8"/>
  <c r="I176" i="8"/>
  <c r="H176" i="8"/>
  <c r="G176" i="8"/>
  <c r="F176" i="8"/>
  <c r="E176" i="8"/>
  <c r="U175" i="8"/>
  <c r="T175" i="8"/>
  <c r="R175" i="8"/>
  <c r="Q175" i="8"/>
  <c r="S175" i="8"/>
  <c r="P175" i="8"/>
  <c r="O175" i="8"/>
  <c r="M175" i="8"/>
  <c r="L175" i="8"/>
  <c r="N175" i="8"/>
  <c r="K175" i="8"/>
  <c r="E169" i="7" s="1"/>
  <c r="J175" i="8"/>
  <c r="I175" i="8"/>
  <c r="H175" i="8"/>
  <c r="G175" i="8"/>
  <c r="F175" i="8"/>
  <c r="E175" i="8"/>
  <c r="G174" i="8"/>
  <c r="A174" i="8"/>
  <c r="G173" i="8"/>
  <c r="A173" i="8"/>
  <c r="U172" i="8"/>
  <c r="T172" i="8"/>
  <c r="S172" i="8"/>
  <c r="P172" i="8"/>
  <c r="N172" i="8"/>
  <c r="K172" i="8"/>
  <c r="I172" i="8"/>
  <c r="D162" i="7" s="1"/>
  <c r="H172" i="8"/>
  <c r="G172" i="8"/>
  <c r="F172" i="8"/>
  <c r="E172" i="8"/>
  <c r="D172" i="8"/>
  <c r="A172" i="8"/>
  <c r="U171" i="8"/>
  <c r="T171" i="8"/>
  <c r="R171" i="8"/>
  <c r="Q171" i="8"/>
  <c r="S171" i="8"/>
  <c r="P171" i="8"/>
  <c r="L171" i="8"/>
  <c r="N171" i="8"/>
  <c r="K171" i="8"/>
  <c r="E153" i="7" s="1"/>
  <c r="J171" i="8"/>
  <c r="I171" i="8"/>
  <c r="D153" i="7" s="1"/>
  <c r="H171" i="8"/>
  <c r="G171" i="8"/>
  <c r="F171" i="8"/>
  <c r="E171" i="8"/>
  <c r="U170" i="8"/>
  <c r="Q170" i="8"/>
  <c r="S170" i="8"/>
  <c r="P170" i="8"/>
  <c r="L170" i="8"/>
  <c r="N170" i="8"/>
  <c r="K170" i="8"/>
  <c r="E156" i="7" s="1"/>
  <c r="J170" i="8"/>
  <c r="I170" i="8"/>
  <c r="D156" i="7" s="1"/>
  <c r="H170" i="8"/>
  <c r="G170" i="8"/>
  <c r="F170" i="8"/>
  <c r="E170" i="8"/>
  <c r="U169" i="8"/>
  <c r="Q169" i="8"/>
  <c r="T169" i="8" s="1"/>
  <c r="S169" i="8"/>
  <c r="P169" i="8"/>
  <c r="O169" i="8"/>
  <c r="M169" i="8"/>
  <c r="F158" i="7" s="1"/>
  <c r="L169" i="8"/>
  <c r="N169" i="8"/>
  <c r="K169" i="8"/>
  <c r="E158" i="7" s="1"/>
  <c r="J169" i="8"/>
  <c r="I169" i="8"/>
  <c r="D158" i="7" s="1"/>
  <c r="H169" i="8"/>
  <c r="G169" i="8"/>
  <c r="F169" i="8"/>
  <c r="E169" i="8"/>
  <c r="U168" i="8"/>
  <c r="Q168" i="8"/>
  <c r="S168" i="8"/>
  <c r="P168" i="8"/>
  <c r="O168" i="8"/>
  <c r="M168" i="8"/>
  <c r="F161" i="7" s="1"/>
  <c r="L168" i="8"/>
  <c r="N168" i="8"/>
  <c r="K168" i="8"/>
  <c r="E161" i="7" s="1"/>
  <c r="J168" i="8"/>
  <c r="I168" i="8"/>
  <c r="D161" i="7" s="1"/>
  <c r="H168" i="8"/>
  <c r="G168" i="8"/>
  <c r="F168" i="8"/>
  <c r="E168" i="8"/>
  <c r="U167" i="8"/>
  <c r="T167" i="8"/>
  <c r="R167" i="8"/>
  <c r="Q167" i="8"/>
  <c r="S167" i="8"/>
  <c r="P167" i="8"/>
  <c r="O167" i="8"/>
  <c r="L167" i="8"/>
  <c r="M167" i="8" s="1"/>
  <c r="N167" i="8"/>
  <c r="K167" i="8"/>
  <c r="J167" i="8"/>
  <c r="I167" i="8"/>
  <c r="H167" i="8"/>
  <c r="G167" i="8"/>
  <c r="F167" i="8"/>
  <c r="E167" i="8"/>
  <c r="U166" i="8"/>
  <c r="Q166" i="8"/>
  <c r="S166" i="8"/>
  <c r="P166" i="8"/>
  <c r="L166" i="8"/>
  <c r="N166" i="8"/>
  <c r="K166" i="8"/>
  <c r="J166" i="8"/>
  <c r="I166" i="8"/>
  <c r="H166" i="8"/>
  <c r="G166" i="8"/>
  <c r="F166" i="8"/>
  <c r="E166" i="8"/>
  <c r="U165" i="8"/>
  <c r="Q165" i="8"/>
  <c r="T165" i="8" s="1"/>
  <c r="S165" i="8"/>
  <c r="P165" i="8"/>
  <c r="L165" i="8"/>
  <c r="N165" i="8"/>
  <c r="K165" i="8"/>
  <c r="J165" i="8"/>
  <c r="I165" i="8"/>
  <c r="H165" i="8"/>
  <c r="G165" i="8"/>
  <c r="F165" i="8"/>
  <c r="E165" i="8"/>
  <c r="U164" i="8"/>
  <c r="Q164" i="8"/>
  <c r="S164" i="8"/>
  <c r="P164" i="8"/>
  <c r="O164" i="8"/>
  <c r="M164" i="8"/>
  <c r="F150" i="7" s="1"/>
  <c r="L164" i="8"/>
  <c r="N164" i="8"/>
  <c r="K164" i="8"/>
  <c r="E150" i="7" s="1"/>
  <c r="J164" i="8"/>
  <c r="I164" i="8"/>
  <c r="H164" i="8"/>
  <c r="G164" i="8"/>
  <c r="F164" i="8"/>
  <c r="E164" i="8"/>
  <c r="U163" i="8"/>
  <c r="T163" i="8"/>
  <c r="R163" i="8"/>
  <c r="Q163" i="8"/>
  <c r="S163" i="8"/>
  <c r="P163" i="8"/>
  <c r="O163" i="8"/>
  <c r="L163" i="8"/>
  <c r="M163" i="8" s="1"/>
  <c r="F151" i="7" s="1"/>
  <c r="N163" i="8"/>
  <c r="K163" i="8"/>
  <c r="E151" i="7" s="1"/>
  <c r="J163" i="8"/>
  <c r="I163" i="8"/>
  <c r="D151" i="7" s="1"/>
  <c r="H163" i="8"/>
  <c r="G163" i="8"/>
  <c r="F163" i="8"/>
  <c r="E163" i="8"/>
  <c r="U162" i="8"/>
  <c r="Q162" i="8"/>
  <c r="S162" i="8"/>
  <c r="P162" i="8"/>
  <c r="L162" i="8"/>
  <c r="N162" i="8"/>
  <c r="K162" i="8"/>
  <c r="E152" i="7" s="1"/>
  <c r="J162" i="8"/>
  <c r="I162" i="8"/>
  <c r="D152" i="7" s="1"/>
  <c r="H162" i="8"/>
  <c r="G162" i="8"/>
  <c r="F162" i="8"/>
  <c r="E162" i="8"/>
  <c r="U161" i="8"/>
  <c r="Q161" i="8"/>
  <c r="T161" i="8" s="1"/>
  <c r="S161" i="8"/>
  <c r="P161" i="8"/>
  <c r="L161" i="8"/>
  <c r="N161" i="8"/>
  <c r="K161" i="8"/>
  <c r="E157" i="7" s="1"/>
  <c r="J161" i="8"/>
  <c r="I161" i="8"/>
  <c r="D157" i="7" s="1"/>
  <c r="H161" i="8"/>
  <c r="G161" i="8"/>
  <c r="F161" i="8"/>
  <c r="E161" i="8"/>
  <c r="U160" i="8"/>
  <c r="Q160" i="8"/>
  <c r="S160" i="8"/>
  <c r="P160" i="8"/>
  <c r="O160" i="8"/>
  <c r="M160" i="8"/>
  <c r="F159" i="7" s="1"/>
  <c r="L160" i="8"/>
  <c r="N160" i="8"/>
  <c r="K160" i="8"/>
  <c r="E159" i="7" s="1"/>
  <c r="J160" i="8"/>
  <c r="I160" i="8"/>
  <c r="D159" i="7" s="1"/>
  <c r="H160" i="8"/>
  <c r="G160" i="8"/>
  <c r="F160" i="8"/>
  <c r="E160" i="8"/>
  <c r="U159" i="8"/>
  <c r="T159" i="8"/>
  <c r="R159" i="8"/>
  <c r="Q159" i="8"/>
  <c r="S159" i="8"/>
  <c r="P159" i="8"/>
  <c r="O159" i="8"/>
  <c r="L159" i="8"/>
  <c r="M159" i="8" s="1"/>
  <c r="N159" i="8"/>
  <c r="K159" i="8"/>
  <c r="E160" i="7" s="1"/>
  <c r="J159" i="8"/>
  <c r="I159" i="8"/>
  <c r="H159" i="8"/>
  <c r="G159" i="8"/>
  <c r="F159" i="8"/>
  <c r="E159" i="8"/>
  <c r="G158" i="8"/>
  <c r="A158" i="8"/>
  <c r="U157" i="8"/>
  <c r="Q157" i="8"/>
  <c r="T157" i="8" s="1"/>
  <c r="S157" i="8"/>
  <c r="P157" i="8"/>
  <c r="O157" i="8"/>
  <c r="M157" i="8"/>
  <c r="F145" i="7" s="1"/>
  <c r="L157" i="8"/>
  <c r="N157" i="8"/>
  <c r="K157" i="8"/>
  <c r="E145" i="7" s="1"/>
  <c r="J157" i="8"/>
  <c r="I157" i="8"/>
  <c r="D145" i="7" s="1"/>
  <c r="H157" i="8"/>
  <c r="G157" i="8"/>
  <c r="F157" i="8"/>
  <c r="E157" i="8"/>
  <c r="U156" i="8"/>
  <c r="T156" i="8"/>
  <c r="R156" i="8"/>
  <c r="Q156" i="8"/>
  <c r="S156" i="8"/>
  <c r="P156" i="8"/>
  <c r="L156" i="8"/>
  <c r="N156" i="8"/>
  <c r="K156" i="8"/>
  <c r="E142" i="7" s="1"/>
  <c r="J156" i="8"/>
  <c r="I156" i="8"/>
  <c r="D142" i="7" s="1"/>
  <c r="H156" i="8"/>
  <c r="G156" i="8"/>
  <c r="F156" i="8"/>
  <c r="E156" i="8"/>
  <c r="U155" i="8"/>
  <c r="Q155" i="8"/>
  <c r="R155" i="8" s="1"/>
  <c r="S155" i="8"/>
  <c r="P155" i="8"/>
  <c r="L155" i="8"/>
  <c r="O155" i="8" s="1"/>
  <c r="N155" i="8"/>
  <c r="K155" i="8"/>
  <c r="E143" i="7" s="1"/>
  <c r="J155" i="8"/>
  <c r="I155" i="8"/>
  <c r="D143" i="7" s="1"/>
  <c r="H155" i="8"/>
  <c r="G155" i="8"/>
  <c r="F155" i="8"/>
  <c r="E155" i="8"/>
  <c r="U154" i="8"/>
  <c r="R154" i="8"/>
  <c r="Q154" i="8"/>
  <c r="T154" i="8" s="1"/>
  <c r="S154" i="8"/>
  <c r="P154" i="8"/>
  <c r="L154" i="8"/>
  <c r="O154" i="8" s="1"/>
  <c r="N154" i="8"/>
  <c r="K154" i="8"/>
  <c r="E144" i="7" s="1"/>
  <c r="J154" i="8"/>
  <c r="I154" i="8"/>
  <c r="D144" i="7" s="1"/>
  <c r="H154" i="8"/>
  <c r="G154" i="8"/>
  <c r="F154" i="8"/>
  <c r="E154" i="8"/>
  <c r="U153" i="8"/>
  <c r="Q153" i="8"/>
  <c r="T153" i="8" s="1"/>
  <c r="S153" i="8"/>
  <c r="P153" i="8"/>
  <c r="O153" i="8"/>
  <c r="M153" i="8"/>
  <c r="F146" i="7" s="1"/>
  <c r="L153" i="8"/>
  <c r="N153" i="8"/>
  <c r="K153" i="8"/>
  <c r="E146" i="7" s="1"/>
  <c r="J153" i="8"/>
  <c r="I153" i="8"/>
  <c r="D146" i="7" s="1"/>
  <c r="H153" i="8"/>
  <c r="G153" i="8"/>
  <c r="F153" i="8"/>
  <c r="E153" i="8"/>
  <c r="G152" i="8"/>
  <c r="A152" i="8"/>
  <c r="G151" i="8"/>
  <c r="A151" i="8"/>
  <c r="U150" i="8"/>
  <c r="S150" i="8"/>
  <c r="P150" i="8"/>
  <c r="N150" i="8"/>
  <c r="K150" i="8"/>
  <c r="I150" i="8"/>
  <c r="H150" i="8"/>
  <c r="G150" i="8"/>
  <c r="F150" i="8"/>
  <c r="E150" i="8"/>
  <c r="D150" i="8"/>
  <c r="A150" i="8"/>
  <c r="U149" i="8"/>
  <c r="T149" i="8"/>
  <c r="S149" i="8"/>
  <c r="P149" i="8"/>
  <c r="N149" i="8"/>
  <c r="O149" i="8" s="1"/>
  <c r="K149" i="8"/>
  <c r="I149" i="8"/>
  <c r="D136" i="7" s="1"/>
  <c r="H149" i="8"/>
  <c r="G149" i="8"/>
  <c r="F149" i="8"/>
  <c r="E149" i="8"/>
  <c r="D149" i="8"/>
  <c r="A149" i="8"/>
  <c r="U148" i="8"/>
  <c r="S148" i="8"/>
  <c r="P148" i="8"/>
  <c r="R148" i="8" s="1"/>
  <c r="N148" i="8"/>
  <c r="K148" i="8"/>
  <c r="I148" i="8"/>
  <c r="H148" i="8"/>
  <c r="G148" i="8"/>
  <c r="F148" i="8"/>
  <c r="E148" i="8"/>
  <c r="D148" i="8"/>
  <c r="A148" i="8"/>
  <c r="U147" i="8"/>
  <c r="T147" i="8"/>
  <c r="S147" i="8"/>
  <c r="P147" i="8"/>
  <c r="N147" i="8"/>
  <c r="O147" i="8" s="1"/>
  <c r="K147" i="8"/>
  <c r="I147" i="8"/>
  <c r="D134" i="7" s="1"/>
  <c r="H147" i="8"/>
  <c r="G147" i="8"/>
  <c r="F147" i="8"/>
  <c r="E147" i="8"/>
  <c r="D147" i="8"/>
  <c r="A147" i="8"/>
  <c r="U146" i="8"/>
  <c r="S146" i="8"/>
  <c r="P146" i="8"/>
  <c r="N146" i="8"/>
  <c r="K146" i="8"/>
  <c r="I146" i="8"/>
  <c r="H146" i="8"/>
  <c r="G146" i="8"/>
  <c r="F146" i="8"/>
  <c r="E146" i="8"/>
  <c r="D146" i="8"/>
  <c r="A146" i="8"/>
  <c r="U145" i="8"/>
  <c r="T145" i="8"/>
  <c r="S145" i="8"/>
  <c r="P145" i="8"/>
  <c r="N145" i="8"/>
  <c r="O145" i="8" s="1"/>
  <c r="K145" i="8"/>
  <c r="I145" i="8"/>
  <c r="D132" i="7" s="1"/>
  <c r="H145" i="8"/>
  <c r="G145" i="8"/>
  <c r="F145" i="8"/>
  <c r="E145" i="8"/>
  <c r="D145" i="8"/>
  <c r="A145" i="8"/>
  <c r="U144" i="8"/>
  <c r="S144" i="8"/>
  <c r="P144" i="8"/>
  <c r="R144" i="8" s="1"/>
  <c r="N144" i="8"/>
  <c r="K144" i="8"/>
  <c r="I144" i="8"/>
  <c r="H144" i="8"/>
  <c r="G144" i="8"/>
  <c r="F144" i="8"/>
  <c r="E144" i="8"/>
  <c r="D144" i="8"/>
  <c r="A144" i="8"/>
  <c r="U143" i="8"/>
  <c r="T143" i="8"/>
  <c r="S143" i="8"/>
  <c r="P143" i="8"/>
  <c r="N143" i="8"/>
  <c r="O143" i="8" s="1"/>
  <c r="K143" i="8"/>
  <c r="I143" i="8"/>
  <c r="D130" i="7" s="1"/>
  <c r="H143" i="8"/>
  <c r="G143" i="8"/>
  <c r="F143" i="8"/>
  <c r="E143" i="8"/>
  <c r="D143" i="8"/>
  <c r="A143" i="8"/>
  <c r="U142" i="8"/>
  <c r="S142" i="8"/>
  <c r="P142" i="8"/>
  <c r="N142" i="8"/>
  <c r="K142" i="8"/>
  <c r="I142" i="8"/>
  <c r="H142" i="8"/>
  <c r="G142" i="8"/>
  <c r="F142" i="8"/>
  <c r="E142" i="8"/>
  <c r="D142" i="8"/>
  <c r="A142" i="8"/>
  <c r="U141" i="8"/>
  <c r="T141" i="8"/>
  <c r="S141" i="8"/>
  <c r="P141" i="8"/>
  <c r="N141" i="8"/>
  <c r="O141" i="8" s="1"/>
  <c r="K141" i="8"/>
  <c r="I141" i="8"/>
  <c r="D128" i="7" s="1"/>
  <c r="H141" i="8"/>
  <c r="G141" i="8"/>
  <c r="F141" i="8"/>
  <c r="E141" i="8"/>
  <c r="D141" i="8"/>
  <c r="A141" i="8"/>
  <c r="U140" i="8"/>
  <c r="S140" i="8"/>
  <c r="P140" i="8"/>
  <c r="R140" i="8" s="1"/>
  <c r="N140" i="8"/>
  <c r="K140" i="8"/>
  <c r="I140" i="8"/>
  <c r="H140" i="8"/>
  <c r="G140" i="8"/>
  <c r="F140" i="8"/>
  <c r="E140" i="8"/>
  <c r="D140" i="8"/>
  <c r="A140" i="8"/>
  <c r="U139" i="8"/>
  <c r="T139" i="8"/>
  <c r="S139" i="8"/>
  <c r="P139" i="8"/>
  <c r="N139" i="8"/>
  <c r="O139" i="8" s="1"/>
  <c r="K139" i="8"/>
  <c r="I139" i="8"/>
  <c r="D126" i="7" s="1"/>
  <c r="H139" i="8"/>
  <c r="G139" i="8"/>
  <c r="F139" i="8"/>
  <c r="E139" i="8"/>
  <c r="D139" i="8"/>
  <c r="A139" i="8"/>
  <c r="U138" i="8"/>
  <c r="S138" i="8"/>
  <c r="P138" i="8"/>
  <c r="N138" i="8"/>
  <c r="K138" i="8"/>
  <c r="I138" i="8"/>
  <c r="H138" i="8"/>
  <c r="G138" i="8"/>
  <c r="F138" i="8"/>
  <c r="E138" i="8"/>
  <c r="D138" i="8"/>
  <c r="A138" i="8"/>
  <c r="U137" i="8"/>
  <c r="T137" i="8"/>
  <c r="S137" i="8"/>
  <c r="P137" i="8"/>
  <c r="N137" i="8"/>
  <c r="O137" i="8" s="1"/>
  <c r="K137" i="8"/>
  <c r="I137" i="8"/>
  <c r="D124" i="7" s="1"/>
  <c r="H137" i="8"/>
  <c r="G137" i="8"/>
  <c r="F137" i="8"/>
  <c r="E137" i="8"/>
  <c r="D137" i="8"/>
  <c r="A137" i="8"/>
  <c r="U136" i="8"/>
  <c r="S136" i="8"/>
  <c r="P136" i="8"/>
  <c r="R136" i="8" s="1"/>
  <c r="N136" i="8"/>
  <c r="K136" i="8"/>
  <c r="I136" i="8"/>
  <c r="D123" i="7" s="1"/>
  <c r="H136" i="8"/>
  <c r="G136" i="8"/>
  <c r="F136" i="8"/>
  <c r="E136" i="8"/>
  <c r="D136" i="8"/>
  <c r="A136" i="8"/>
  <c r="U135" i="8"/>
  <c r="T135" i="8"/>
  <c r="S135" i="8"/>
  <c r="P135" i="8"/>
  <c r="N135" i="8"/>
  <c r="O135" i="8" s="1"/>
  <c r="K135" i="8"/>
  <c r="I135" i="8"/>
  <c r="D122" i="7" s="1"/>
  <c r="H135" i="8"/>
  <c r="G135" i="8"/>
  <c r="F135" i="8"/>
  <c r="E135" i="8"/>
  <c r="D135" i="8"/>
  <c r="A135" i="8"/>
  <c r="U134" i="8"/>
  <c r="S134" i="8"/>
  <c r="P134" i="8"/>
  <c r="N134" i="8"/>
  <c r="K134" i="8"/>
  <c r="I134" i="8"/>
  <c r="D121" i="7" s="1"/>
  <c r="H134" i="8"/>
  <c r="G134" i="8"/>
  <c r="F134" i="8"/>
  <c r="E134" i="8"/>
  <c r="D134" i="8"/>
  <c r="A134" i="8"/>
  <c r="U133" i="8"/>
  <c r="T133" i="8"/>
  <c r="S133" i="8"/>
  <c r="P133" i="8"/>
  <c r="N133" i="8"/>
  <c r="O133" i="8" s="1"/>
  <c r="K133" i="8"/>
  <c r="I133" i="8"/>
  <c r="D120" i="7" s="1"/>
  <c r="H133" i="8"/>
  <c r="G133" i="8"/>
  <c r="F133" i="8"/>
  <c r="E133" i="8"/>
  <c r="D133" i="8"/>
  <c r="A133" i="8"/>
  <c r="U132" i="8"/>
  <c r="S132" i="8"/>
  <c r="P132" i="8"/>
  <c r="R132" i="8" s="1"/>
  <c r="N132" i="8"/>
  <c r="O132" i="8" s="1"/>
  <c r="K132" i="8"/>
  <c r="I132" i="8"/>
  <c r="D119" i="7" s="1"/>
  <c r="H132" i="8"/>
  <c r="G132" i="8"/>
  <c r="F132" i="8"/>
  <c r="E132" i="8"/>
  <c r="D132" i="8"/>
  <c r="A132" i="8"/>
  <c r="U131" i="8"/>
  <c r="T131" i="8"/>
  <c r="S131" i="8"/>
  <c r="P131" i="8"/>
  <c r="N131" i="8"/>
  <c r="O131" i="8" s="1"/>
  <c r="K131" i="8"/>
  <c r="I131" i="8"/>
  <c r="D118" i="7" s="1"/>
  <c r="H131" i="8"/>
  <c r="G131" i="8"/>
  <c r="F131" i="8"/>
  <c r="E131" i="8"/>
  <c r="D131" i="8"/>
  <c r="A131" i="8"/>
  <c r="U130" i="8"/>
  <c r="T130" i="8"/>
  <c r="R130" i="8"/>
  <c r="Q130" i="8"/>
  <c r="S130" i="8"/>
  <c r="P130" i="8"/>
  <c r="L130" i="8"/>
  <c r="N130" i="8"/>
  <c r="K130" i="8"/>
  <c r="E95" i="7" s="1"/>
  <c r="J130" i="8"/>
  <c r="I130" i="8"/>
  <c r="D95" i="7" s="1"/>
  <c r="H130" i="8"/>
  <c r="G130" i="8"/>
  <c r="F130" i="8"/>
  <c r="E130" i="8"/>
  <c r="U129" i="8"/>
  <c r="Q129" i="8"/>
  <c r="R129" i="8" s="1"/>
  <c r="S129" i="8"/>
  <c r="P129" i="8"/>
  <c r="L129" i="8"/>
  <c r="O129" i="8" s="1"/>
  <c r="N129" i="8"/>
  <c r="K129" i="8"/>
  <c r="E100" i="7" s="1"/>
  <c r="J129" i="8"/>
  <c r="I129" i="8"/>
  <c r="D100" i="7" s="1"/>
  <c r="H129" i="8"/>
  <c r="G129" i="8"/>
  <c r="F129" i="8"/>
  <c r="E129" i="8"/>
  <c r="U128" i="8"/>
  <c r="Q128" i="8"/>
  <c r="T128" i="8" s="1"/>
  <c r="S128" i="8"/>
  <c r="P128" i="8"/>
  <c r="L128" i="8"/>
  <c r="O128" i="8" s="1"/>
  <c r="N128" i="8"/>
  <c r="K128" i="8"/>
  <c r="E107" i="7" s="1"/>
  <c r="J128" i="8"/>
  <c r="I128" i="8"/>
  <c r="D107" i="7" s="1"/>
  <c r="H128" i="8"/>
  <c r="G128" i="8"/>
  <c r="F128" i="8"/>
  <c r="E128" i="8"/>
  <c r="U127" i="8"/>
  <c r="Q127" i="8"/>
  <c r="T127" i="8" s="1"/>
  <c r="S127" i="8"/>
  <c r="P127" i="8"/>
  <c r="O127" i="8"/>
  <c r="M127" i="8"/>
  <c r="F117" i="7" s="1"/>
  <c r="L127" i="8"/>
  <c r="N127" i="8"/>
  <c r="K127" i="8"/>
  <c r="E117" i="7" s="1"/>
  <c r="J127" i="8"/>
  <c r="I127" i="8"/>
  <c r="D117" i="7" s="1"/>
  <c r="H127" i="8"/>
  <c r="G127" i="8"/>
  <c r="F127" i="8"/>
  <c r="E127" i="8"/>
  <c r="U126" i="8"/>
  <c r="T126" i="8"/>
  <c r="R126" i="8"/>
  <c r="Q126" i="8"/>
  <c r="S126" i="8"/>
  <c r="P126" i="8"/>
  <c r="L126" i="8"/>
  <c r="N126" i="8"/>
  <c r="K126" i="8"/>
  <c r="E92" i="7" s="1"/>
  <c r="J126" i="8"/>
  <c r="I126" i="8"/>
  <c r="D92" i="7" s="1"/>
  <c r="H126" i="8"/>
  <c r="G126" i="8"/>
  <c r="F126" i="8"/>
  <c r="E126" i="8"/>
  <c r="U125" i="8"/>
  <c r="Q125" i="8"/>
  <c r="R125" i="8" s="1"/>
  <c r="S125" i="8"/>
  <c r="P125" i="8"/>
  <c r="L125" i="8"/>
  <c r="O125" i="8" s="1"/>
  <c r="N125" i="8"/>
  <c r="K125" i="8"/>
  <c r="E94" i="7" s="1"/>
  <c r="J125" i="8"/>
  <c r="I125" i="8"/>
  <c r="H125" i="8"/>
  <c r="G125" i="8"/>
  <c r="F125" i="8"/>
  <c r="E125" i="8"/>
  <c r="U124" i="8"/>
  <c r="Q124" i="8"/>
  <c r="T124" i="8" s="1"/>
  <c r="S124" i="8"/>
  <c r="P124" i="8"/>
  <c r="L124" i="8"/>
  <c r="O124" i="8" s="1"/>
  <c r="N124" i="8"/>
  <c r="K124" i="8"/>
  <c r="E96" i="7" s="1"/>
  <c r="J124" i="8"/>
  <c r="I124" i="8"/>
  <c r="D96" i="7" s="1"/>
  <c r="H124" i="8"/>
  <c r="G124" i="8"/>
  <c r="F124" i="8"/>
  <c r="E124" i="8"/>
  <c r="U123" i="8"/>
  <c r="Q123" i="8"/>
  <c r="T123" i="8" s="1"/>
  <c r="S123" i="8"/>
  <c r="P123" i="8"/>
  <c r="O123" i="8"/>
  <c r="M123" i="8"/>
  <c r="F97" i="7" s="1"/>
  <c r="L123" i="8"/>
  <c r="N123" i="8"/>
  <c r="K123" i="8"/>
  <c r="E97" i="7" s="1"/>
  <c r="J123" i="8"/>
  <c r="I123" i="8"/>
  <c r="D97" i="7" s="1"/>
  <c r="H123" i="8"/>
  <c r="G123" i="8"/>
  <c r="F123" i="8"/>
  <c r="E123" i="8"/>
  <c r="U122" i="8"/>
  <c r="T122" i="8"/>
  <c r="R122" i="8"/>
  <c r="Q122" i="8"/>
  <c r="S122" i="8"/>
  <c r="P122" i="8"/>
  <c r="L122" i="8"/>
  <c r="N122" i="8"/>
  <c r="K122" i="8"/>
  <c r="E108" i="7" s="1"/>
  <c r="J122" i="8"/>
  <c r="I122" i="8"/>
  <c r="D108" i="7" s="1"/>
  <c r="H122" i="8"/>
  <c r="G122" i="8"/>
  <c r="F122" i="8"/>
  <c r="E122" i="8"/>
  <c r="U121" i="8"/>
  <c r="Q121" i="8"/>
  <c r="R121" i="8" s="1"/>
  <c r="S121" i="8"/>
  <c r="P121" i="8"/>
  <c r="L121" i="8"/>
  <c r="O121" i="8" s="1"/>
  <c r="N121" i="8"/>
  <c r="K121" i="8"/>
  <c r="E109" i="7" s="1"/>
  <c r="J121" i="8"/>
  <c r="I121" i="8"/>
  <c r="D109" i="7" s="1"/>
  <c r="H121" i="8"/>
  <c r="G121" i="8"/>
  <c r="F121" i="8"/>
  <c r="E121" i="8"/>
  <c r="U120" i="8"/>
  <c r="Q120" i="8"/>
  <c r="T120" i="8" s="1"/>
  <c r="S120" i="8"/>
  <c r="P120" i="8"/>
  <c r="L120" i="8"/>
  <c r="O120" i="8" s="1"/>
  <c r="N120" i="8"/>
  <c r="K120" i="8"/>
  <c r="E110" i="7" s="1"/>
  <c r="J120" i="8"/>
  <c r="I120" i="8"/>
  <c r="D110" i="7" s="1"/>
  <c r="H120" i="8"/>
  <c r="G120" i="8"/>
  <c r="F120" i="8"/>
  <c r="E120" i="8"/>
  <c r="U119" i="8"/>
  <c r="Q119" i="8"/>
  <c r="T119" i="8" s="1"/>
  <c r="S119" i="8"/>
  <c r="P119" i="8"/>
  <c r="O119" i="8"/>
  <c r="M119" i="8"/>
  <c r="F111" i="7" s="1"/>
  <c r="L119" i="8"/>
  <c r="N119" i="8"/>
  <c r="K119" i="8"/>
  <c r="E111" i="7" s="1"/>
  <c r="J119" i="8"/>
  <c r="I119" i="8"/>
  <c r="D111" i="7" s="1"/>
  <c r="H119" i="8"/>
  <c r="G119" i="8"/>
  <c r="F119" i="8"/>
  <c r="E119" i="8"/>
  <c r="U118" i="8"/>
  <c r="T118" i="8"/>
  <c r="R118" i="8"/>
  <c r="Q118" i="8"/>
  <c r="S118" i="8"/>
  <c r="P118" i="8"/>
  <c r="L118" i="8"/>
  <c r="N118" i="8"/>
  <c r="K118" i="8"/>
  <c r="E112" i="7" s="1"/>
  <c r="J118" i="8"/>
  <c r="I118" i="8"/>
  <c r="D112" i="7" s="1"/>
  <c r="H118" i="8"/>
  <c r="G118" i="8"/>
  <c r="F118" i="8"/>
  <c r="E118" i="8"/>
  <c r="U117" i="8"/>
  <c r="Q117" i="8"/>
  <c r="R117" i="8" s="1"/>
  <c r="S117" i="8"/>
  <c r="P117" i="8"/>
  <c r="L117" i="8"/>
  <c r="O117" i="8" s="1"/>
  <c r="N117" i="8"/>
  <c r="K117" i="8"/>
  <c r="J117" i="8"/>
  <c r="I117" i="8"/>
  <c r="H117" i="8"/>
  <c r="G117" i="8"/>
  <c r="F117" i="8"/>
  <c r="E117" i="8"/>
  <c r="U116" i="8"/>
  <c r="Q116" i="8"/>
  <c r="T116" i="8" s="1"/>
  <c r="S116" i="8"/>
  <c r="P116" i="8"/>
  <c r="L116" i="8"/>
  <c r="O116" i="8" s="1"/>
  <c r="N116" i="8"/>
  <c r="K116" i="8"/>
  <c r="J116" i="8"/>
  <c r="I116" i="8"/>
  <c r="H116" i="8"/>
  <c r="G116" i="8"/>
  <c r="F116" i="8"/>
  <c r="E116" i="8"/>
  <c r="U115" i="8"/>
  <c r="Q115" i="8"/>
  <c r="T115" i="8" s="1"/>
  <c r="S115" i="8"/>
  <c r="P115" i="8"/>
  <c r="O115" i="8"/>
  <c r="M115" i="8"/>
  <c r="L115" i="8"/>
  <c r="N115" i="8"/>
  <c r="K115" i="8"/>
  <c r="J115" i="8"/>
  <c r="I115" i="8"/>
  <c r="H115" i="8"/>
  <c r="G115" i="8"/>
  <c r="F115" i="8"/>
  <c r="E115" i="8"/>
  <c r="U114" i="8"/>
  <c r="T114" i="8"/>
  <c r="R114" i="8"/>
  <c r="Q114" i="8"/>
  <c r="S114" i="8"/>
  <c r="P114" i="8"/>
  <c r="L114" i="8"/>
  <c r="N114" i="8"/>
  <c r="K114" i="8"/>
  <c r="J114" i="8"/>
  <c r="I114" i="8"/>
  <c r="H114" i="8"/>
  <c r="G114" i="8"/>
  <c r="F114" i="8"/>
  <c r="E114" i="8"/>
  <c r="U113" i="8"/>
  <c r="Q113" i="8"/>
  <c r="R113" i="8" s="1"/>
  <c r="S113" i="8"/>
  <c r="P113" i="8"/>
  <c r="L113" i="8"/>
  <c r="O113" i="8" s="1"/>
  <c r="N113" i="8"/>
  <c r="K113" i="8"/>
  <c r="E91" i="7" s="1"/>
  <c r="J113" i="8"/>
  <c r="I113" i="8"/>
  <c r="D91" i="7" s="1"/>
  <c r="H113" i="8"/>
  <c r="G113" i="8"/>
  <c r="F113" i="8"/>
  <c r="E113" i="8"/>
  <c r="U112" i="8"/>
  <c r="Q112" i="8"/>
  <c r="T112" i="8" s="1"/>
  <c r="S112" i="8"/>
  <c r="P112" i="8"/>
  <c r="L112" i="8"/>
  <c r="N112" i="8"/>
  <c r="K112" i="8"/>
  <c r="J112" i="8"/>
  <c r="I112" i="8"/>
  <c r="H112" i="8"/>
  <c r="G112" i="8"/>
  <c r="F112" i="8"/>
  <c r="E112" i="8"/>
  <c r="U111" i="8"/>
  <c r="Q111" i="8"/>
  <c r="S111" i="8"/>
  <c r="P111" i="8"/>
  <c r="O111" i="8"/>
  <c r="M111" i="8"/>
  <c r="F105" i="7" s="1"/>
  <c r="L111" i="8"/>
  <c r="N111" i="8"/>
  <c r="K111" i="8"/>
  <c r="E105" i="7" s="1"/>
  <c r="J111" i="8"/>
  <c r="I111" i="8"/>
  <c r="D105" i="7" s="1"/>
  <c r="H111" i="8"/>
  <c r="G111" i="8"/>
  <c r="F111" i="8"/>
  <c r="E111" i="8"/>
  <c r="U110" i="8"/>
  <c r="T110" i="8"/>
  <c r="R110" i="8"/>
  <c r="Q110" i="8"/>
  <c r="S110" i="8"/>
  <c r="P110" i="8"/>
  <c r="O110" i="8"/>
  <c r="L110" i="8"/>
  <c r="M110" i="8" s="1"/>
  <c r="F113" i="7" s="1"/>
  <c r="N110" i="8"/>
  <c r="K110" i="8"/>
  <c r="E113" i="7" s="1"/>
  <c r="J110" i="8"/>
  <c r="I110" i="8"/>
  <c r="D113" i="7" s="1"/>
  <c r="H110" i="8"/>
  <c r="G110" i="8"/>
  <c r="F110" i="8"/>
  <c r="E110" i="8"/>
  <c r="U109" i="8"/>
  <c r="T109" i="8"/>
  <c r="Q109" i="8"/>
  <c r="R109" i="8" s="1"/>
  <c r="S109" i="8"/>
  <c r="P109" i="8"/>
  <c r="L109" i="8"/>
  <c r="O109" i="8" s="1"/>
  <c r="N109" i="8"/>
  <c r="K109" i="8"/>
  <c r="E115" i="7" s="1"/>
  <c r="J109" i="8"/>
  <c r="I109" i="8"/>
  <c r="D115" i="7" s="1"/>
  <c r="H109" i="8"/>
  <c r="G109" i="8"/>
  <c r="F109" i="8"/>
  <c r="E109" i="8"/>
  <c r="U108" i="8"/>
  <c r="Q108" i="8"/>
  <c r="T108" i="8" s="1"/>
  <c r="S108" i="8"/>
  <c r="P108" i="8"/>
  <c r="L108" i="8"/>
  <c r="N108" i="8"/>
  <c r="K108" i="8"/>
  <c r="J108" i="8"/>
  <c r="I108" i="8"/>
  <c r="H108" i="8"/>
  <c r="G108" i="8"/>
  <c r="F108" i="8"/>
  <c r="E108" i="8"/>
  <c r="U107" i="8"/>
  <c r="Q107" i="8"/>
  <c r="S107" i="8"/>
  <c r="P107" i="8"/>
  <c r="O107" i="8"/>
  <c r="M107" i="8"/>
  <c r="L107" i="8"/>
  <c r="N107" i="8"/>
  <c r="K107" i="8"/>
  <c r="J107" i="8"/>
  <c r="I107" i="8"/>
  <c r="H107" i="8"/>
  <c r="G107" i="8"/>
  <c r="F107" i="8"/>
  <c r="E107" i="8"/>
  <c r="U106" i="8"/>
  <c r="T106" i="8"/>
  <c r="R106" i="8"/>
  <c r="Q106" i="8"/>
  <c r="S106" i="8"/>
  <c r="P106" i="8"/>
  <c r="O106" i="8"/>
  <c r="L106" i="8"/>
  <c r="M106" i="8" s="1"/>
  <c r="F102" i="7" s="1"/>
  <c r="N106" i="8"/>
  <c r="K106" i="8"/>
  <c r="E102" i="7" s="1"/>
  <c r="J106" i="8"/>
  <c r="I106" i="8"/>
  <c r="D102" i="7" s="1"/>
  <c r="H106" i="8"/>
  <c r="G106" i="8"/>
  <c r="F106" i="8"/>
  <c r="E106" i="8"/>
  <c r="U105" i="8"/>
  <c r="T105" i="8"/>
  <c r="Q105" i="8"/>
  <c r="R105" i="8" s="1"/>
  <c r="S105" i="8"/>
  <c r="P105" i="8"/>
  <c r="L105" i="8"/>
  <c r="O105" i="8" s="1"/>
  <c r="N105" i="8"/>
  <c r="K105" i="8"/>
  <c r="E103" i="7" s="1"/>
  <c r="J105" i="8"/>
  <c r="I105" i="8"/>
  <c r="D103" i="7" s="1"/>
  <c r="H105" i="8"/>
  <c r="G105" i="8"/>
  <c r="F105" i="8"/>
  <c r="E105" i="8"/>
  <c r="U104" i="8"/>
  <c r="Q104" i="8"/>
  <c r="T104" i="8" s="1"/>
  <c r="S104" i="8"/>
  <c r="P104" i="8"/>
  <c r="L104" i="8"/>
  <c r="N104" i="8"/>
  <c r="K104" i="8"/>
  <c r="E104" i="7" s="1"/>
  <c r="J104" i="8"/>
  <c r="I104" i="8"/>
  <c r="D104" i="7" s="1"/>
  <c r="H104" i="8"/>
  <c r="G104" i="8"/>
  <c r="F104" i="8"/>
  <c r="E104" i="8"/>
  <c r="U103" i="8"/>
  <c r="S103" i="8"/>
  <c r="T103" i="8" s="1"/>
  <c r="R103" i="8"/>
  <c r="P103" i="8"/>
  <c r="N103" i="8"/>
  <c r="O103" i="8" s="1"/>
  <c r="M103" i="8"/>
  <c r="F116" i="7" s="1"/>
  <c r="K103" i="8"/>
  <c r="E116" i="7" s="1"/>
  <c r="I103" i="8"/>
  <c r="D116" i="7" s="1"/>
  <c r="H103" i="8"/>
  <c r="G103" i="8"/>
  <c r="F103" i="8"/>
  <c r="E103" i="8"/>
  <c r="D103" i="8"/>
  <c r="A103" i="8"/>
  <c r="U102" i="8"/>
  <c r="Q102" i="8"/>
  <c r="S102" i="8"/>
  <c r="P102" i="8"/>
  <c r="O102" i="8"/>
  <c r="M102" i="8"/>
  <c r="F106" i="7" s="1"/>
  <c r="L102" i="8"/>
  <c r="N102" i="8"/>
  <c r="K102" i="8"/>
  <c r="E106" i="7" s="1"/>
  <c r="J102" i="8"/>
  <c r="I102" i="8"/>
  <c r="D106" i="7" s="1"/>
  <c r="H102" i="8"/>
  <c r="G102" i="8"/>
  <c r="F102" i="8"/>
  <c r="E102" i="8"/>
  <c r="U101" i="8"/>
  <c r="T101" i="8"/>
  <c r="R101" i="8"/>
  <c r="Q101" i="8"/>
  <c r="S101" i="8"/>
  <c r="P101" i="8"/>
  <c r="O101" i="8"/>
  <c r="L101" i="8"/>
  <c r="M101" i="8" s="1"/>
  <c r="F114" i="7" s="1"/>
  <c r="N101" i="8"/>
  <c r="K101" i="8"/>
  <c r="E114" i="7" s="1"/>
  <c r="J101" i="8"/>
  <c r="I101" i="8"/>
  <c r="D114" i="7" s="1"/>
  <c r="H101" i="8"/>
  <c r="G101" i="8"/>
  <c r="F101" i="8"/>
  <c r="E101" i="8"/>
  <c r="U100" i="8"/>
  <c r="T100" i="8"/>
  <c r="Q100" i="8"/>
  <c r="R100" i="8" s="1"/>
  <c r="S100" i="8"/>
  <c r="P100" i="8"/>
  <c r="L100" i="8"/>
  <c r="O100" i="8" s="1"/>
  <c r="N100" i="8"/>
  <c r="K100" i="8"/>
  <c r="J100" i="8"/>
  <c r="I100" i="8"/>
  <c r="H100" i="8"/>
  <c r="G100" i="8"/>
  <c r="F100" i="8"/>
  <c r="E100" i="8"/>
  <c r="U99" i="8"/>
  <c r="Q99" i="8"/>
  <c r="T99" i="8" s="1"/>
  <c r="S99" i="8"/>
  <c r="P99" i="8"/>
  <c r="L99" i="8"/>
  <c r="N99" i="8"/>
  <c r="K99" i="8"/>
  <c r="J99" i="8"/>
  <c r="I99" i="8"/>
  <c r="H99" i="8"/>
  <c r="G99" i="8"/>
  <c r="F99" i="8"/>
  <c r="E99" i="8"/>
  <c r="U98" i="8"/>
  <c r="Q98" i="8"/>
  <c r="S98" i="8"/>
  <c r="P98" i="8"/>
  <c r="O98" i="8"/>
  <c r="M98" i="8"/>
  <c r="F101" i="7" s="1"/>
  <c r="L98" i="8"/>
  <c r="N98" i="8"/>
  <c r="K98" i="8"/>
  <c r="E101" i="7" s="1"/>
  <c r="J98" i="8"/>
  <c r="I98" i="8"/>
  <c r="D101" i="7" s="1"/>
  <c r="H98" i="8"/>
  <c r="G98" i="8"/>
  <c r="F98" i="8"/>
  <c r="E98" i="8"/>
  <c r="U97" i="8"/>
  <c r="T97" i="8"/>
  <c r="R97" i="8"/>
  <c r="Q97" i="8"/>
  <c r="S97" i="8"/>
  <c r="P97" i="8"/>
  <c r="O97" i="8"/>
  <c r="L97" i="8"/>
  <c r="M97" i="8" s="1"/>
  <c r="N97" i="8"/>
  <c r="K97" i="8"/>
  <c r="E90" i="7" s="1"/>
  <c r="J97" i="8"/>
  <c r="I97" i="8"/>
  <c r="H97" i="8"/>
  <c r="G97" i="8"/>
  <c r="F97" i="8"/>
  <c r="E97" i="8"/>
  <c r="U96" i="8"/>
  <c r="T96" i="8"/>
  <c r="Q96" i="8"/>
  <c r="R96" i="8" s="1"/>
  <c r="S96" i="8"/>
  <c r="P96" i="8"/>
  <c r="L96" i="8"/>
  <c r="O96" i="8" s="1"/>
  <c r="N96" i="8"/>
  <c r="K96" i="8"/>
  <c r="E93" i="7" s="1"/>
  <c r="J96" i="8"/>
  <c r="I96" i="8"/>
  <c r="H96" i="8"/>
  <c r="G96" i="8"/>
  <c r="F96" i="8"/>
  <c r="E96" i="8"/>
  <c r="G95" i="8"/>
  <c r="A95" i="8"/>
  <c r="U94" i="8"/>
  <c r="T94" i="8"/>
  <c r="R94" i="8"/>
  <c r="Q94" i="8"/>
  <c r="S94" i="8"/>
  <c r="P94" i="8"/>
  <c r="O94" i="8"/>
  <c r="L94" i="8"/>
  <c r="M94" i="8" s="1"/>
  <c r="F86" i="7" s="1"/>
  <c r="E87" i="7" s="1"/>
  <c r="N94" i="8"/>
  <c r="K94" i="8"/>
  <c r="E86" i="7" s="1"/>
  <c r="J94" i="8"/>
  <c r="I94" i="8"/>
  <c r="D86" i="7" s="1"/>
  <c r="H94" i="8"/>
  <c r="G94" i="8"/>
  <c r="F94" i="8"/>
  <c r="E94" i="8"/>
  <c r="G93" i="8"/>
  <c r="A93" i="8"/>
  <c r="G92" i="8"/>
  <c r="A92" i="8"/>
  <c r="U91" i="8"/>
  <c r="T91" i="8"/>
  <c r="Q91" i="8"/>
  <c r="R91" i="8" s="1"/>
  <c r="S91" i="8"/>
  <c r="P91" i="8"/>
  <c r="L91" i="8"/>
  <c r="O91" i="8" s="1"/>
  <c r="N91" i="8"/>
  <c r="K91" i="8"/>
  <c r="E24" i="7" s="1"/>
  <c r="J91" i="8"/>
  <c r="I91" i="8"/>
  <c r="D24" i="7" s="1"/>
  <c r="H91" i="8"/>
  <c r="G91" i="8"/>
  <c r="F91" i="8"/>
  <c r="E91" i="8"/>
  <c r="U90" i="8"/>
  <c r="Q90" i="8"/>
  <c r="S90" i="8"/>
  <c r="P90" i="8"/>
  <c r="L90" i="8"/>
  <c r="O90" i="8" s="1"/>
  <c r="N90" i="8"/>
  <c r="K90" i="8"/>
  <c r="E32" i="7" s="1"/>
  <c r="J90" i="8"/>
  <c r="I90" i="8"/>
  <c r="D32" i="7" s="1"/>
  <c r="H90" i="8"/>
  <c r="G90" i="8"/>
  <c r="F90" i="8"/>
  <c r="E90" i="8"/>
  <c r="U89" i="8"/>
  <c r="Q89" i="8"/>
  <c r="T89" i="8" s="1"/>
  <c r="S89" i="8"/>
  <c r="P89" i="8"/>
  <c r="O89" i="8"/>
  <c r="M89" i="8"/>
  <c r="F33" i="7" s="1"/>
  <c r="L89" i="8"/>
  <c r="N89" i="8"/>
  <c r="K89" i="8"/>
  <c r="E33" i="7" s="1"/>
  <c r="J89" i="8"/>
  <c r="I89" i="8"/>
  <c r="D33" i="7" s="1"/>
  <c r="H89" i="8"/>
  <c r="G89" i="8"/>
  <c r="F89" i="8"/>
  <c r="E89" i="8"/>
  <c r="U88" i="8"/>
  <c r="T88" i="8"/>
  <c r="R88" i="8"/>
  <c r="Q88" i="8"/>
  <c r="S88" i="8"/>
  <c r="P88" i="8"/>
  <c r="O88" i="8"/>
  <c r="L88" i="8"/>
  <c r="M88" i="8" s="1"/>
  <c r="F37" i="7" s="1"/>
  <c r="N88" i="8"/>
  <c r="K88" i="8"/>
  <c r="E37" i="7" s="1"/>
  <c r="J88" i="8"/>
  <c r="I88" i="8"/>
  <c r="D37" i="7" s="1"/>
  <c r="H88" i="8"/>
  <c r="G88" i="8"/>
  <c r="F88" i="8"/>
  <c r="E88" i="8"/>
  <c r="U87" i="8"/>
  <c r="T87" i="8"/>
  <c r="Q87" i="8"/>
  <c r="R87" i="8" s="1"/>
  <c r="S87" i="8"/>
  <c r="P87" i="8"/>
  <c r="L87" i="8"/>
  <c r="N87" i="8"/>
  <c r="K87" i="8"/>
  <c r="E42" i="7" s="1"/>
  <c r="J87" i="8"/>
  <c r="I87" i="8"/>
  <c r="D42" i="7" s="1"/>
  <c r="H87" i="8"/>
  <c r="G87" i="8"/>
  <c r="F87" i="8"/>
  <c r="E87" i="8"/>
  <c r="U86" i="8"/>
  <c r="Q86" i="8"/>
  <c r="S86" i="8"/>
  <c r="P86" i="8"/>
  <c r="L86" i="8"/>
  <c r="O86" i="8" s="1"/>
  <c r="N86" i="8"/>
  <c r="K86" i="8"/>
  <c r="E44" i="7" s="1"/>
  <c r="J86" i="8"/>
  <c r="I86" i="8"/>
  <c r="D44" i="7" s="1"/>
  <c r="H86" i="8"/>
  <c r="G86" i="8"/>
  <c r="F86" i="8"/>
  <c r="E86" i="8"/>
  <c r="U85" i="8"/>
  <c r="Q85" i="8"/>
  <c r="T85" i="8" s="1"/>
  <c r="S85" i="8"/>
  <c r="P85" i="8"/>
  <c r="O85" i="8"/>
  <c r="M85" i="8"/>
  <c r="F77" i="7" s="1"/>
  <c r="L85" i="8"/>
  <c r="N85" i="8"/>
  <c r="K85" i="8"/>
  <c r="E77" i="7" s="1"/>
  <c r="J85" i="8"/>
  <c r="I85" i="8"/>
  <c r="D77" i="7" s="1"/>
  <c r="H85" i="8"/>
  <c r="G85" i="8"/>
  <c r="F85" i="8"/>
  <c r="E85" i="8"/>
  <c r="U84" i="8"/>
  <c r="T84" i="8"/>
  <c r="R84" i="8"/>
  <c r="Q84" i="8"/>
  <c r="S84" i="8"/>
  <c r="P84" i="8"/>
  <c r="O84" i="8"/>
  <c r="L84" i="8"/>
  <c r="M84" i="8" s="1"/>
  <c r="N84" i="8"/>
  <c r="K84" i="8"/>
  <c r="J84" i="8"/>
  <c r="I84" i="8"/>
  <c r="H84" i="8"/>
  <c r="G84" i="8"/>
  <c r="F84" i="8"/>
  <c r="E84" i="8"/>
  <c r="U83" i="8"/>
  <c r="T83" i="8"/>
  <c r="Q83" i="8"/>
  <c r="R83" i="8" s="1"/>
  <c r="S83" i="8"/>
  <c r="P83" i="8"/>
  <c r="L83" i="8"/>
  <c r="N83" i="8"/>
  <c r="K83" i="8"/>
  <c r="E30" i="7" s="1"/>
  <c r="J83" i="8"/>
  <c r="I83" i="8"/>
  <c r="D30" i="7" s="1"/>
  <c r="H83" i="8"/>
  <c r="G83" i="8"/>
  <c r="F83" i="8"/>
  <c r="E83" i="8"/>
  <c r="U82" i="8"/>
  <c r="Q82" i="8"/>
  <c r="S82" i="8"/>
  <c r="P82" i="8"/>
  <c r="L82" i="8"/>
  <c r="O82" i="8" s="1"/>
  <c r="N82" i="8"/>
  <c r="K82" i="8"/>
  <c r="E34" i="7" s="1"/>
  <c r="J82" i="8"/>
  <c r="I82" i="8"/>
  <c r="D34" i="7" s="1"/>
  <c r="H82" i="8"/>
  <c r="G82" i="8"/>
  <c r="F82" i="8"/>
  <c r="E82" i="8"/>
  <c r="U81" i="8"/>
  <c r="Q81" i="8"/>
  <c r="T81" i="8" s="1"/>
  <c r="S81" i="8"/>
  <c r="P81" i="8"/>
  <c r="O81" i="8"/>
  <c r="M81" i="8"/>
  <c r="F51" i="7" s="1"/>
  <c r="L81" i="8"/>
  <c r="N81" i="8"/>
  <c r="K81" i="8"/>
  <c r="E51" i="7" s="1"/>
  <c r="J81" i="8"/>
  <c r="I81" i="8"/>
  <c r="D51" i="7" s="1"/>
  <c r="H81" i="8"/>
  <c r="G81" i="8"/>
  <c r="F81" i="8"/>
  <c r="E81" i="8"/>
  <c r="U80" i="8"/>
  <c r="T80" i="8"/>
  <c r="R80" i="8"/>
  <c r="Q80" i="8"/>
  <c r="S80" i="8"/>
  <c r="P80" i="8"/>
  <c r="O80" i="8"/>
  <c r="L80" i="8"/>
  <c r="M80" i="8" s="1"/>
  <c r="F52" i="7" s="1"/>
  <c r="N80" i="8"/>
  <c r="K80" i="8"/>
  <c r="E52" i="7" s="1"/>
  <c r="J80" i="8"/>
  <c r="I80" i="8"/>
  <c r="D52" i="7" s="1"/>
  <c r="H80" i="8"/>
  <c r="G80" i="8"/>
  <c r="F80" i="8"/>
  <c r="E80" i="8"/>
  <c r="U79" i="8"/>
  <c r="T79" i="8"/>
  <c r="Q79" i="8"/>
  <c r="R79" i="8" s="1"/>
  <c r="S79" i="8"/>
  <c r="P79" i="8"/>
  <c r="L79" i="8"/>
  <c r="N79" i="8"/>
  <c r="K79" i="8"/>
  <c r="E56" i="7" s="1"/>
  <c r="J79" i="8"/>
  <c r="I79" i="8"/>
  <c r="D56" i="7" s="1"/>
  <c r="H79" i="8"/>
  <c r="G79" i="8"/>
  <c r="F79" i="8"/>
  <c r="E79" i="8"/>
  <c r="U78" i="8"/>
  <c r="Q78" i="8"/>
  <c r="S78" i="8"/>
  <c r="P78" i="8"/>
  <c r="L78" i="8"/>
  <c r="O78" i="8" s="1"/>
  <c r="N78" i="8"/>
  <c r="K78" i="8"/>
  <c r="E57" i="7" s="1"/>
  <c r="J78" i="8"/>
  <c r="I78" i="8"/>
  <c r="D57" i="7" s="1"/>
  <c r="H78" i="8"/>
  <c r="G78" i="8"/>
  <c r="F78" i="8"/>
  <c r="E78" i="8"/>
  <c r="U77" i="8"/>
  <c r="Q77" i="8"/>
  <c r="T77" i="8" s="1"/>
  <c r="S77" i="8"/>
  <c r="P77" i="8"/>
  <c r="O77" i="8"/>
  <c r="M77" i="8"/>
  <c r="F61" i="7" s="1"/>
  <c r="L77" i="8"/>
  <c r="N77" i="8"/>
  <c r="K77" i="8"/>
  <c r="E61" i="7" s="1"/>
  <c r="J77" i="8"/>
  <c r="I77" i="8"/>
  <c r="D61" i="7" s="1"/>
  <c r="H77" i="8"/>
  <c r="G77" i="8"/>
  <c r="F77" i="8"/>
  <c r="E77" i="8"/>
  <c r="U76" i="8"/>
  <c r="T76" i="8"/>
  <c r="R76" i="8"/>
  <c r="Q76" i="8"/>
  <c r="S76" i="8"/>
  <c r="P76" i="8"/>
  <c r="O76" i="8"/>
  <c r="L76" i="8"/>
  <c r="M76" i="8" s="1"/>
  <c r="F62" i="7" s="1"/>
  <c r="N76" i="8"/>
  <c r="K76" i="8"/>
  <c r="E62" i="7" s="1"/>
  <c r="J76" i="8"/>
  <c r="I76" i="8"/>
  <c r="D62" i="7" s="1"/>
  <c r="H76" i="8"/>
  <c r="G76" i="8"/>
  <c r="F76" i="8"/>
  <c r="E76" i="8"/>
  <c r="U75" i="8"/>
  <c r="T75" i="8"/>
  <c r="Q75" i="8"/>
  <c r="R75" i="8" s="1"/>
  <c r="S75" i="8"/>
  <c r="P75" i="8"/>
  <c r="L75" i="8"/>
  <c r="N75" i="8"/>
  <c r="K75" i="8"/>
  <c r="E63" i="7" s="1"/>
  <c r="J75" i="8"/>
  <c r="I75" i="8"/>
  <c r="D63" i="7" s="1"/>
  <c r="H75" i="8"/>
  <c r="G75" i="8"/>
  <c r="F75" i="8"/>
  <c r="E75" i="8"/>
  <c r="U74" i="8"/>
  <c r="Q74" i="8"/>
  <c r="S74" i="8"/>
  <c r="P74" i="8"/>
  <c r="L74" i="8"/>
  <c r="O74" i="8" s="1"/>
  <c r="N74" i="8"/>
  <c r="K74" i="8"/>
  <c r="E79" i="7" s="1"/>
  <c r="J74" i="8"/>
  <c r="I74" i="8"/>
  <c r="D79" i="7" s="1"/>
  <c r="H74" i="8"/>
  <c r="G74" i="8"/>
  <c r="F74" i="8"/>
  <c r="E74" i="8"/>
  <c r="U73" i="8"/>
  <c r="Q73" i="8"/>
  <c r="T73" i="8" s="1"/>
  <c r="S73" i="8"/>
  <c r="P73" i="8"/>
  <c r="O73" i="8"/>
  <c r="M73" i="8"/>
  <c r="F80" i="7" s="1"/>
  <c r="L73" i="8"/>
  <c r="N73" i="8"/>
  <c r="K73" i="8"/>
  <c r="E80" i="7" s="1"/>
  <c r="J73" i="8"/>
  <c r="I73" i="8"/>
  <c r="D80" i="7" s="1"/>
  <c r="H73" i="8"/>
  <c r="G73" i="8"/>
  <c r="F73" i="8"/>
  <c r="E73" i="8"/>
  <c r="U72" i="8"/>
  <c r="T72" i="8"/>
  <c r="R72" i="8"/>
  <c r="Q72" i="8"/>
  <c r="S72" i="8"/>
  <c r="P72" i="8"/>
  <c r="O72" i="8"/>
  <c r="L72" i="8"/>
  <c r="M72" i="8" s="1"/>
  <c r="F81" i="7" s="1"/>
  <c r="N72" i="8"/>
  <c r="K72" i="8"/>
  <c r="E81" i="7" s="1"/>
  <c r="J72" i="8"/>
  <c r="I72" i="8"/>
  <c r="D81" i="7" s="1"/>
  <c r="H72" i="8"/>
  <c r="G72" i="8"/>
  <c r="F72" i="8"/>
  <c r="E72" i="8"/>
  <c r="U71" i="8"/>
  <c r="Q71" i="8"/>
  <c r="R71" i="8" s="1"/>
  <c r="S71" i="8"/>
  <c r="P71" i="8"/>
  <c r="L71" i="8"/>
  <c r="O71" i="8" s="1"/>
  <c r="N71" i="8"/>
  <c r="K71" i="8"/>
  <c r="E69" i="7" s="1"/>
  <c r="J71" i="8"/>
  <c r="I71" i="8"/>
  <c r="D69" i="7" s="1"/>
  <c r="H71" i="8"/>
  <c r="G71" i="8"/>
  <c r="F71" i="8"/>
  <c r="E71" i="8"/>
  <c r="U70" i="8"/>
  <c r="Q70" i="8"/>
  <c r="T70" i="8" s="1"/>
  <c r="S70" i="8"/>
  <c r="P70" i="8"/>
  <c r="L70" i="8"/>
  <c r="O70" i="8" s="1"/>
  <c r="N70" i="8"/>
  <c r="K70" i="8"/>
  <c r="E70" i="7" s="1"/>
  <c r="J70" i="8"/>
  <c r="I70" i="8"/>
  <c r="D70" i="7" s="1"/>
  <c r="H70" i="8"/>
  <c r="G70" i="8"/>
  <c r="F70" i="8"/>
  <c r="E70" i="8"/>
  <c r="U69" i="8"/>
  <c r="Q69" i="8"/>
  <c r="T69" i="8" s="1"/>
  <c r="S69" i="8"/>
  <c r="P69" i="8"/>
  <c r="O69" i="8"/>
  <c r="M69" i="8"/>
  <c r="F36" i="7" s="1"/>
  <c r="L69" i="8"/>
  <c r="N69" i="8"/>
  <c r="K69" i="8"/>
  <c r="E36" i="7" s="1"/>
  <c r="J69" i="8"/>
  <c r="I69" i="8"/>
  <c r="D36" i="7" s="1"/>
  <c r="H69" i="8"/>
  <c r="G69" i="8"/>
  <c r="F69" i="8"/>
  <c r="E69" i="8"/>
  <c r="U68" i="8"/>
  <c r="T68" i="8"/>
  <c r="R68" i="8"/>
  <c r="Q68" i="8"/>
  <c r="S68" i="8"/>
  <c r="P68" i="8"/>
  <c r="L68" i="8"/>
  <c r="M68" i="8" s="1"/>
  <c r="F45" i="7" s="1"/>
  <c r="N68" i="8"/>
  <c r="K68" i="8"/>
  <c r="E45" i="7" s="1"/>
  <c r="J68" i="8"/>
  <c r="I68" i="8"/>
  <c r="D45" i="7" s="1"/>
  <c r="H68" i="8"/>
  <c r="G68" i="8"/>
  <c r="F68" i="8"/>
  <c r="E68" i="8"/>
  <c r="U67" i="8"/>
  <c r="Q67" i="8"/>
  <c r="R67" i="8" s="1"/>
  <c r="S67" i="8"/>
  <c r="P67" i="8"/>
  <c r="L67" i="8"/>
  <c r="O67" i="8" s="1"/>
  <c r="N67" i="8"/>
  <c r="K67" i="8"/>
  <c r="J67" i="8"/>
  <c r="I67" i="8"/>
  <c r="H67" i="8"/>
  <c r="G67" i="8"/>
  <c r="F67" i="8"/>
  <c r="E67" i="8"/>
  <c r="U66" i="8"/>
  <c r="Q66" i="8"/>
  <c r="T66" i="8" s="1"/>
  <c r="S66" i="8"/>
  <c r="P66" i="8"/>
  <c r="L66" i="8"/>
  <c r="O66" i="8" s="1"/>
  <c r="N66" i="8"/>
  <c r="K66" i="8"/>
  <c r="E78" i="7" s="1"/>
  <c r="J66" i="8"/>
  <c r="I66" i="8"/>
  <c r="D78" i="7" s="1"/>
  <c r="H66" i="8"/>
  <c r="G66" i="8"/>
  <c r="F66" i="8"/>
  <c r="E66" i="8"/>
  <c r="U65" i="8"/>
  <c r="Q65" i="8"/>
  <c r="T65" i="8" s="1"/>
  <c r="S65" i="8"/>
  <c r="P65" i="8"/>
  <c r="O65" i="8"/>
  <c r="M65" i="8"/>
  <c r="L65" i="8"/>
  <c r="N65" i="8"/>
  <c r="K65" i="8"/>
  <c r="J65" i="8"/>
  <c r="I65" i="8"/>
  <c r="H65" i="8"/>
  <c r="G65" i="8"/>
  <c r="F65" i="8"/>
  <c r="E65" i="8"/>
  <c r="U64" i="8"/>
  <c r="T64" i="8"/>
  <c r="R64" i="8"/>
  <c r="Q64" i="8"/>
  <c r="S64" i="8"/>
  <c r="P64" i="8"/>
  <c r="L64" i="8"/>
  <c r="M64" i="8" s="1"/>
  <c r="F23" i="7" s="1"/>
  <c r="N64" i="8"/>
  <c r="K64" i="8"/>
  <c r="E23" i="7" s="1"/>
  <c r="J64" i="8"/>
  <c r="I64" i="8"/>
  <c r="D23" i="7" s="1"/>
  <c r="H64" i="8"/>
  <c r="G64" i="8"/>
  <c r="F64" i="8"/>
  <c r="E64" i="8"/>
  <c r="U63" i="8"/>
  <c r="Q63" i="8"/>
  <c r="R63" i="8" s="1"/>
  <c r="S63" i="8"/>
  <c r="P63" i="8"/>
  <c r="L63" i="8"/>
  <c r="O63" i="8" s="1"/>
  <c r="N63" i="8"/>
  <c r="K63" i="8"/>
  <c r="J63" i="8"/>
  <c r="I63" i="8"/>
  <c r="H63" i="8"/>
  <c r="G63" i="8"/>
  <c r="F63" i="8"/>
  <c r="E63" i="8"/>
  <c r="U62" i="8"/>
  <c r="Q62" i="8"/>
  <c r="T62" i="8" s="1"/>
  <c r="S62" i="8"/>
  <c r="P62" i="8"/>
  <c r="L62" i="8"/>
  <c r="O62" i="8" s="1"/>
  <c r="N62" i="8"/>
  <c r="K62" i="8"/>
  <c r="E29" i="7" s="1"/>
  <c r="J62" i="8"/>
  <c r="I62" i="8"/>
  <c r="D29" i="7" s="1"/>
  <c r="H62" i="8"/>
  <c r="G62" i="8"/>
  <c r="F62" i="8"/>
  <c r="E62" i="8"/>
  <c r="U61" i="8"/>
  <c r="Q61" i="8"/>
  <c r="T61" i="8" s="1"/>
  <c r="S61" i="8"/>
  <c r="P61" i="8"/>
  <c r="O61" i="8"/>
  <c r="M61" i="8"/>
  <c r="F31" i="7" s="1"/>
  <c r="L61" i="8"/>
  <c r="N61" i="8"/>
  <c r="K61" i="8"/>
  <c r="E31" i="7" s="1"/>
  <c r="J61" i="8"/>
  <c r="I61" i="8"/>
  <c r="D31" i="7" s="1"/>
  <c r="H61" i="8"/>
  <c r="G61" i="8"/>
  <c r="F61" i="8"/>
  <c r="E61" i="8"/>
  <c r="U60" i="8"/>
  <c r="T60" i="8"/>
  <c r="R60" i="8"/>
  <c r="Q60" i="8"/>
  <c r="S60" i="8"/>
  <c r="P60" i="8"/>
  <c r="O60" i="8"/>
  <c r="L60" i="8"/>
  <c r="M60" i="8" s="1"/>
  <c r="F35" i="7" s="1"/>
  <c r="N60" i="8"/>
  <c r="K60" i="8"/>
  <c r="E35" i="7" s="1"/>
  <c r="J60" i="8"/>
  <c r="I60" i="8"/>
  <c r="D35" i="7" s="1"/>
  <c r="H60" i="8"/>
  <c r="G60" i="8"/>
  <c r="F60" i="8"/>
  <c r="E60" i="8"/>
  <c r="U59" i="8"/>
  <c r="T59" i="8"/>
  <c r="Q59" i="8"/>
  <c r="R59" i="8" s="1"/>
  <c r="S59" i="8"/>
  <c r="P59" i="8"/>
  <c r="L59" i="8"/>
  <c r="O59" i="8" s="1"/>
  <c r="N59" i="8"/>
  <c r="K59" i="8"/>
  <c r="J59" i="8"/>
  <c r="I59" i="8"/>
  <c r="H59" i="8"/>
  <c r="G59" i="8"/>
  <c r="F59" i="8"/>
  <c r="E59" i="8"/>
  <c r="U58" i="8"/>
  <c r="Q58" i="8"/>
  <c r="T58" i="8" s="1"/>
  <c r="S58" i="8"/>
  <c r="P58" i="8"/>
  <c r="L58" i="8"/>
  <c r="O58" i="8" s="1"/>
  <c r="N58" i="8"/>
  <c r="K58" i="8"/>
  <c r="E66" i="7" s="1"/>
  <c r="J58" i="8"/>
  <c r="I58" i="8"/>
  <c r="D66" i="7" s="1"/>
  <c r="H58" i="8"/>
  <c r="G58" i="8"/>
  <c r="F58" i="8"/>
  <c r="E58" i="8"/>
  <c r="U57" i="8"/>
  <c r="Q57" i="8"/>
  <c r="T57" i="8" s="1"/>
  <c r="S57" i="8"/>
  <c r="P57" i="8"/>
  <c r="O57" i="8"/>
  <c r="M57" i="8"/>
  <c r="F67" i="7" s="1"/>
  <c r="L57" i="8"/>
  <c r="N57" i="8"/>
  <c r="K57" i="8"/>
  <c r="E67" i="7" s="1"/>
  <c r="J57" i="8"/>
  <c r="I57" i="8"/>
  <c r="D67" i="7" s="1"/>
  <c r="H57" i="8"/>
  <c r="G57" i="8"/>
  <c r="F57" i="8"/>
  <c r="E57" i="8"/>
  <c r="U56" i="8"/>
  <c r="T56" i="8"/>
  <c r="R56" i="8"/>
  <c r="Q56" i="8"/>
  <c r="S56" i="8"/>
  <c r="P56" i="8"/>
  <c r="O56" i="8"/>
  <c r="L56" i="8"/>
  <c r="M56" i="8" s="1"/>
  <c r="F75" i="7" s="1"/>
  <c r="N56" i="8"/>
  <c r="K56" i="8"/>
  <c r="E75" i="7" s="1"/>
  <c r="J56" i="8"/>
  <c r="I56" i="8"/>
  <c r="D75" i="7" s="1"/>
  <c r="H56" i="8"/>
  <c r="G56" i="8"/>
  <c r="F56" i="8"/>
  <c r="E56" i="8"/>
  <c r="U55" i="8"/>
  <c r="S55" i="8"/>
  <c r="P55" i="8"/>
  <c r="R55" i="8" s="1"/>
  <c r="N55" i="8"/>
  <c r="K55" i="8"/>
  <c r="E43" i="7" s="1"/>
  <c r="I55" i="8"/>
  <c r="D43" i="7" s="1"/>
  <c r="H55" i="8"/>
  <c r="G55" i="8"/>
  <c r="F55" i="8"/>
  <c r="E55" i="8"/>
  <c r="D55" i="8"/>
  <c r="A55" i="8"/>
  <c r="U54" i="8"/>
  <c r="S54" i="8"/>
  <c r="P54" i="8"/>
  <c r="R54" i="8" s="1"/>
  <c r="O54" i="8"/>
  <c r="N54" i="8"/>
  <c r="K54" i="8"/>
  <c r="M54" i="8" s="1"/>
  <c r="I54" i="8"/>
  <c r="T54" i="8" s="1"/>
  <c r="H54" i="8"/>
  <c r="G54" i="8"/>
  <c r="F54" i="8"/>
  <c r="E54" i="8"/>
  <c r="D54" i="8"/>
  <c r="A54" i="8"/>
  <c r="U53" i="8"/>
  <c r="T53" i="8"/>
  <c r="Q53" i="8"/>
  <c r="R53" i="8" s="1"/>
  <c r="S53" i="8"/>
  <c r="P53" i="8"/>
  <c r="L53" i="8"/>
  <c r="O53" i="8" s="1"/>
  <c r="N53" i="8"/>
  <c r="K53" i="8"/>
  <c r="E22" i="7" s="1"/>
  <c r="J53" i="8"/>
  <c r="I53" i="8"/>
  <c r="D22" i="7" s="1"/>
  <c r="H53" i="8"/>
  <c r="G53" i="8"/>
  <c r="F53" i="8"/>
  <c r="E53" i="8"/>
  <c r="U52" i="8"/>
  <c r="Q52" i="8"/>
  <c r="T52" i="8" s="1"/>
  <c r="S52" i="8"/>
  <c r="P52" i="8"/>
  <c r="L52" i="8"/>
  <c r="O52" i="8" s="1"/>
  <c r="N52" i="8"/>
  <c r="K52" i="8"/>
  <c r="E55" i="7" s="1"/>
  <c r="J52" i="8"/>
  <c r="I52" i="8"/>
  <c r="D55" i="7" s="1"/>
  <c r="H52" i="8"/>
  <c r="G52" i="8"/>
  <c r="F52" i="8"/>
  <c r="E52" i="8"/>
  <c r="U51" i="8"/>
  <c r="Q51" i="8"/>
  <c r="T51" i="8" s="1"/>
  <c r="S51" i="8"/>
  <c r="P51" i="8"/>
  <c r="O51" i="8"/>
  <c r="M51" i="8"/>
  <c r="L51" i="8"/>
  <c r="N51" i="8"/>
  <c r="K51" i="8"/>
  <c r="J51" i="8"/>
  <c r="I51" i="8"/>
  <c r="H51" i="8"/>
  <c r="G51" i="8"/>
  <c r="F51" i="8"/>
  <c r="E51" i="8"/>
  <c r="U50" i="8"/>
  <c r="T50" i="8"/>
  <c r="R50" i="8"/>
  <c r="Q50" i="8"/>
  <c r="S50" i="8"/>
  <c r="P50" i="8"/>
  <c r="O50" i="8"/>
  <c r="L50" i="8"/>
  <c r="M50" i="8" s="1"/>
  <c r="N50" i="8"/>
  <c r="K50" i="8"/>
  <c r="J50" i="8"/>
  <c r="I50" i="8"/>
  <c r="H50" i="8"/>
  <c r="G50" i="8"/>
  <c r="F50" i="8"/>
  <c r="E50" i="8"/>
  <c r="U49" i="8"/>
  <c r="T49" i="8"/>
  <c r="Q49" i="8"/>
  <c r="R49" i="8" s="1"/>
  <c r="S49" i="8"/>
  <c r="P49" i="8"/>
  <c r="L49" i="8"/>
  <c r="O49" i="8" s="1"/>
  <c r="N49" i="8"/>
  <c r="K49" i="8"/>
  <c r="E53" i="7" s="1"/>
  <c r="J49" i="8"/>
  <c r="I49" i="8"/>
  <c r="D53" i="7" s="1"/>
  <c r="H49" i="8"/>
  <c r="G49" i="8"/>
  <c r="F49" i="8"/>
  <c r="E49" i="8"/>
  <c r="U48" i="8"/>
  <c r="Q48" i="8"/>
  <c r="T48" i="8" s="1"/>
  <c r="S48" i="8"/>
  <c r="P48" i="8"/>
  <c r="L48" i="8"/>
  <c r="O48" i="8" s="1"/>
  <c r="N48" i="8"/>
  <c r="K48" i="8"/>
  <c r="E58" i="7" s="1"/>
  <c r="J48" i="8"/>
  <c r="I48" i="8"/>
  <c r="D58" i="7" s="1"/>
  <c r="H48" i="8"/>
  <c r="G48" i="8"/>
  <c r="F48" i="8"/>
  <c r="E48" i="8"/>
  <c r="U47" i="8"/>
  <c r="Q47" i="8"/>
  <c r="T47" i="8" s="1"/>
  <c r="S47" i="8"/>
  <c r="P47" i="8"/>
  <c r="O47" i="8"/>
  <c r="M47" i="8"/>
  <c r="F72" i="7" s="1"/>
  <c r="L47" i="8"/>
  <c r="N47" i="8"/>
  <c r="K47" i="8"/>
  <c r="E72" i="7" s="1"/>
  <c r="J47" i="8"/>
  <c r="I47" i="8"/>
  <c r="D72" i="7" s="1"/>
  <c r="H47" i="8"/>
  <c r="G47" i="8"/>
  <c r="F47" i="8"/>
  <c r="E47" i="8"/>
  <c r="U46" i="8"/>
  <c r="T46" i="8"/>
  <c r="R46" i="8"/>
  <c r="Q46" i="8"/>
  <c r="S46" i="8"/>
  <c r="P46" i="8"/>
  <c r="O46" i="8"/>
  <c r="L46" i="8"/>
  <c r="M46" i="8" s="1"/>
  <c r="F26" i="7" s="1"/>
  <c r="N46" i="8"/>
  <c r="K46" i="8"/>
  <c r="E26" i="7" s="1"/>
  <c r="J46" i="8"/>
  <c r="I46" i="8"/>
  <c r="D26" i="7" s="1"/>
  <c r="H46" i="8"/>
  <c r="G46" i="8"/>
  <c r="F46" i="8"/>
  <c r="E46" i="8"/>
  <c r="U45" i="8"/>
  <c r="T45" i="8"/>
  <c r="Q45" i="8"/>
  <c r="R45" i="8" s="1"/>
  <c r="S45" i="8"/>
  <c r="P45" i="8"/>
  <c r="L45" i="8"/>
  <c r="O45" i="8" s="1"/>
  <c r="N45" i="8"/>
  <c r="K45" i="8"/>
  <c r="E28" i="7" s="1"/>
  <c r="J45" i="8"/>
  <c r="I45" i="8"/>
  <c r="D28" i="7" s="1"/>
  <c r="H45" i="8"/>
  <c r="G45" i="8"/>
  <c r="F45" i="8"/>
  <c r="E45" i="8"/>
  <c r="U44" i="8"/>
  <c r="Q44" i="8"/>
  <c r="T44" i="8" s="1"/>
  <c r="S44" i="8"/>
  <c r="P44" i="8"/>
  <c r="L44" i="8"/>
  <c r="O44" i="8" s="1"/>
  <c r="N44" i="8"/>
  <c r="K44" i="8"/>
  <c r="E38" i="7" s="1"/>
  <c r="J44" i="8"/>
  <c r="I44" i="8"/>
  <c r="D38" i="7" s="1"/>
  <c r="H44" i="8"/>
  <c r="G44" i="8"/>
  <c r="F44" i="8"/>
  <c r="E44" i="8"/>
  <c r="U43" i="8"/>
  <c r="Q43" i="8"/>
  <c r="T43" i="8" s="1"/>
  <c r="S43" i="8"/>
  <c r="P43" i="8"/>
  <c r="O43" i="8"/>
  <c r="M43" i="8"/>
  <c r="F39" i="7" s="1"/>
  <c r="L43" i="8"/>
  <c r="N43" i="8"/>
  <c r="K43" i="8"/>
  <c r="E39" i="7" s="1"/>
  <c r="J43" i="8"/>
  <c r="I43" i="8"/>
  <c r="D39" i="7" s="1"/>
  <c r="H43" i="8"/>
  <c r="G43" i="8"/>
  <c r="F43" i="8"/>
  <c r="E43" i="8"/>
  <c r="U42" i="8"/>
  <c r="T42" i="8"/>
  <c r="R42" i="8"/>
  <c r="Q42" i="8"/>
  <c r="S42" i="8"/>
  <c r="P42" i="8"/>
  <c r="O42" i="8"/>
  <c r="L42" i="8"/>
  <c r="M42" i="8" s="1"/>
  <c r="F59" i="7" s="1"/>
  <c r="N42" i="8"/>
  <c r="K42" i="8"/>
  <c r="E59" i="7" s="1"/>
  <c r="J42" i="8"/>
  <c r="I42" i="8"/>
  <c r="D59" i="7" s="1"/>
  <c r="H42" i="8"/>
  <c r="G42" i="8"/>
  <c r="F42" i="8"/>
  <c r="E42" i="8"/>
  <c r="U41" i="8"/>
  <c r="T41" i="8"/>
  <c r="Q41" i="8"/>
  <c r="R41" i="8" s="1"/>
  <c r="S41" i="8"/>
  <c r="P41" i="8"/>
  <c r="L41" i="8"/>
  <c r="O41" i="8" s="1"/>
  <c r="N41" i="8"/>
  <c r="K41" i="8"/>
  <c r="E60" i="7" s="1"/>
  <c r="J41" i="8"/>
  <c r="I41" i="8"/>
  <c r="D60" i="7" s="1"/>
  <c r="H41" i="8"/>
  <c r="G41" i="8"/>
  <c r="F41" i="8"/>
  <c r="E41" i="8"/>
  <c r="U40" i="8"/>
  <c r="Q40" i="8"/>
  <c r="T40" i="8" s="1"/>
  <c r="S40" i="8"/>
  <c r="P40" i="8"/>
  <c r="L40" i="8"/>
  <c r="O40" i="8" s="1"/>
  <c r="N40" i="8"/>
  <c r="K40" i="8"/>
  <c r="E64" i="7" s="1"/>
  <c r="J40" i="8"/>
  <c r="I40" i="8"/>
  <c r="D64" i="7" s="1"/>
  <c r="H40" i="8"/>
  <c r="G40" i="8"/>
  <c r="F40" i="8"/>
  <c r="E40" i="8"/>
  <c r="U39" i="8"/>
  <c r="Q39" i="8"/>
  <c r="T39" i="8" s="1"/>
  <c r="S39" i="8"/>
  <c r="P39" i="8"/>
  <c r="O39" i="8"/>
  <c r="M39" i="8"/>
  <c r="F65" i="7" s="1"/>
  <c r="L39" i="8"/>
  <c r="N39" i="8"/>
  <c r="K39" i="8"/>
  <c r="E65" i="7" s="1"/>
  <c r="J39" i="8"/>
  <c r="I39" i="8"/>
  <c r="D65" i="7" s="1"/>
  <c r="H39" i="8"/>
  <c r="G39" i="8"/>
  <c r="F39" i="8"/>
  <c r="E39" i="8"/>
  <c r="U38" i="8"/>
  <c r="T38" i="8"/>
  <c r="R38" i="8"/>
  <c r="Q38" i="8"/>
  <c r="S38" i="8"/>
  <c r="P38" i="8"/>
  <c r="O38" i="8"/>
  <c r="L38" i="8"/>
  <c r="M38" i="8" s="1"/>
  <c r="F68" i="7" s="1"/>
  <c r="N38" i="8"/>
  <c r="K38" i="8"/>
  <c r="E68" i="7" s="1"/>
  <c r="J38" i="8"/>
  <c r="I38" i="8"/>
  <c r="D68" i="7" s="1"/>
  <c r="H38" i="8"/>
  <c r="G38" i="8"/>
  <c r="F38" i="8"/>
  <c r="E38" i="8"/>
  <c r="U37" i="8"/>
  <c r="T37" i="8"/>
  <c r="Q37" i="8"/>
  <c r="R37" i="8" s="1"/>
  <c r="S37" i="8"/>
  <c r="P37" i="8"/>
  <c r="L37" i="8"/>
  <c r="O37" i="8" s="1"/>
  <c r="N37" i="8"/>
  <c r="K37" i="8"/>
  <c r="J37" i="8"/>
  <c r="I37" i="8"/>
  <c r="H37" i="8"/>
  <c r="G37" i="8"/>
  <c r="F37" i="8"/>
  <c r="E37" i="8"/>
  <c r="U36" i="8"/>
  <c r="Q36" i="8"/>
  <c r="T36" i="8" s="1"/>
  <c r="S36" i="8"/>
  <c r="P36" i="8"/>
  <c r="L36" i="8"/>
  <c r="O36" i="8" s="1"/>
  <c r="N36" i="8"/>
  <c r="K36" i="8"/>
  <c r="J36" i="8"/>
  <c r="I36" i="8"/>
  <c r="H36" i="8"/>
  <c r="G36" i="8"/>
  <c r="F36" i="8"/>
  <c r="E36" i="8"/>
  <c r="U35" i="8"/>
  <c r="Q35" i="8"/>
  <c r="T35" i="8" s="1"/>
  <c r="S35" i="8"/>
  <c r="P35" i="8"/>
  <c r="O35" i="8"/>
  <c r="M35" i="8"/>
  <c r="L35" i="8"/>
  <c r="N35" i="8"/>
  <c r="K35" i="8"/>
  <c r="J35" i="8"/>
  <c r="I35" i="8"/>
  <c r="H35" i="8"/>
  <c r="G35" i="8"/>
  <c r="F35" i="8"/>
  <c r="E35" i="8"/>
  <c r="U34" i="8"/>
  <c r="T34" i="8"/>
  <c r="R34" i="8"/>
  <c r="Q34" i="8"/>
  <c r="S34" i="8"/>
  <c r="P34" i="8"/>
  <c r="O34" i="8"/>
  <c r="L34" i="8"/>
  <c r="M34" i="8" s="1"/>
  <c r="N34" i="8"/>
  <c r="K34" i="8"/>
  <c r="J34" i="8"/>
  <c r="I34" i="8"/>
  <c r="H34" i="8"/>
  <c r="G34" i="8"/>
  <c r="F34" i="8"/>
  <c r="E34" i="8"/>
  <c r="U33" i="8"/>
  <c r="T33" i="8"/>
  <c r="Q33" i="8"/>
  <c r="R33" i="8" s="1"/>
  <c r="S33" i="8"/>
  <c r="P33" i="8"/>
  <c r="L33" i="8"/>
  <c r="O33" i="8" s="1"/>
  <c r="N33" i="8"/>
  <c r="K33" i="8"/>
  <c r="E25" i="7" s="1"/>
  <c r="J33" i="8"/>
  <c r="I33" i="8"/>
  <c r="D25" i="7" s="1"/>
  <c r="H33" i="8"/>
  <c r="G33" i="8"/>
  <c r="F33" i="8"/>
  <c r="E33" i="8"/>
  <c r="U32" i="8"/>
  <c r="Q32" i="8"/>
  <c r="T32" i="8" s="1"/>
  <c r="S32" i="8"/>
  <c r="P32" i="8"/>
  <c r="L32" i="8"/>
  <c r="O32" i="8" s="1"/>
  <c r="N32" i="8"/>
  <c r="K32" i="8"/>
  <c r="J32" i="8"/>
  <c r="I32" i="8"/>
  <c r="H32" i="8"/>
  <c r="G32" i="8"/>
  <c r="F32" i="8"/>
  <c r="E32" i="8"/>
  <c r="U31" i="8"/>
  <c r="Q31" i="8"/>
  <c r="T31" i="8" s="1"/>
  <c r="S31" i="8"/>
  <c r="P31" i="8"/>
  <c r="O31" i="8"/>
  <c r="M31" i="8"/>
  <c r="F50" i="7" s="1"/>
  <c r="L31" i="8"/>
  <c r="N31" i="8"/>
  <c r="K31" i="8"/>
  <c r="E50" i="7" s="1"/>
  <c r="J31" i="8"/>
  <c r="I31" i="8"/>
  <c r="D50" i="7" s="1"/>
  <c r="H31" i="8"/>
  <c r="G31" i="8"/>
  <c r="F31" i="8"/>
  <c r="E31" i="8"/>
  <c r="U30" i="8"/>
  <c r="T30" i="8"/>
  <c r="R30" i="8"/>
  <c r="Q30" i="8"/>
  <c r="S30" i="8"/>
  <c r="P30" i="8"/>
  <c r="O30" i="8"/>
  <c r="L30" i="8"/>
  <c r="M30" i="8" s="1"/>
  <c r="F71" i="7" s="1"/>
  <c r="N30" i="8"/>
  <c r="K30" i="8"/>
  <c r="E71" i="7" s="1"/>
  <c r="J30" i="8"/>
  <c r="I30" i="8"/>
  <c r="D71" i="7" s="1"/>
  <c r="H30" i="8"/>
  <c r="G30" i="8"/>
  <c r="F30" i="8"/>
  <c r="E30" i="8"/>
  <c r="U29" i="8"/>
  <c r="T29" i="8"/>
  <c r="Q29" i="8"/>
  <c r="R29" i="8" s="1"/>
  <c r="S29" i="8"/>
  <c r="P29" i="8"/>
  <c r="L29" i="8"/>
  <c r="O29" i="8" s="1"/>
  <c r="N29" i="8"/>
  <c r="K29" i="8"/>
  <c r="E74" i="7" s="1"/>
  <c r="J29" i="8"/>
  <c r="I29" i="8"/>
  <c r="D74" i="7" s="1"/>
  <c r="H29" i="8"/>
  <c r="G29" i="8"/>
  <c r="F29" i="8"/>
  <c r="E29" i="8"/>
  <c r="U28" i="8"/>
  <c r="Q28" i="8"/>
  <c r="T28" i="8" s="1"/>
  <c r="S28" i="8"/>
  <c r="P28" i="8"/>
  <c r="L28" i="8"/>
  <c r="M28" i="8" s="1"/>
  <c r="N28" i="8"/>
  <c r="K28" i="8"/>
  <c r="J28" i="8"/>
  <c r="I28" i="8"/>
  <c r="H28" i="8"/>
  <c r="G28" i="8"/>
  <c r="F28" i="8"/>
  <c r="E28" i="8"/>
  <c r="U27" i="8"/>
  <c r="Q27" i="8"/>
  <c r="R27" i="8" s="1"/>
  <c r="S27" i="8"/>
  <c r="P27" i="8"/>
  <c r="O27" i="8"/>
  <c r="M27" i="8"/>
  <c r="L27" i="8"/>
  <c r="N27" i="8"/>
  <c r="K27" i="8"/>
  <c r="J27" i="8"/>
  <c r="I27" i="8"/>
  <c r="H27" i="8"/>
  <c r="G27" i="8"/>
  <c r="F27" i="8"/>
  <c r="E27" i="8"/>
  <c r="U26" i="8"/>
  <c r="T26" i="8"/>
  <c r="R26" i="8"/>
  <c r="Q26" i="8"/>
  <c r="S26" i="8"/>
  <c r="P26" i="8"/>
  <c r="O26" i="8"/>
  <c r="L26" i="8"/>
  <c r="M26" i="8" s="1"/>
  <c r="F47" i="7" s="1"/>
  <c r="N26" i="8"/>
  <c r="K26" i="8"/>
  <c r="E47" i="7" s="1"/>
  <c r="J26" i="8"/>
  <c r="I26" i="8"/>
  <c r="D47" i="7" s="1"/>
  <c r="H26" i="8"/>
  <c r="G26" i="8"/>
  <c r="F26" i="8"/>
  <c r="E26" i="8"/>
  <c r="U25" i="8"/>
  <c r="T25" i="8"/>
  <c r="Q25" i="8"/>
  <c r="R25" i="8" s="1"/>
  <c r="S25" i="8"/>
  <c r="P25" i="8"/>
  <c r="L25" i="8"/>
  <c r="O25" i="8" s="1"/>
  <c r="N25" i="8"/>
  <c r="K25" i="8"/>
  <c r="E48" i="7" s="1"/>
  <c r="J25" i="8"/>
  <c r="I25" i="8"/>
  <c r="D48" i="7" s="1"/>
  <c r="H25" i="8"/>
  <c r="G25" i="8"/>
  <c r="F25" i="8"/>
  <c r="E25" i="8"/>
  <c r="U24" i="8"/>
  <c r="Q24" i="8"/>
  <c r="T24" i="8" s="1"/>
  <c r="S24" i="8"/>
  <c r="P24" i="8"/>
  <c r="L24" i="8"/>
  <c r="O24" i="8" s="1"/>
  <c r="N24" i="8"/>
  <c r="K24" i="8"/>
  <c r="E49" i="7" s="1"/>
  <c r="J24" i="8"/>
  <c r="I24" i="8"/>
  <c r="D49" i="7" s="1"/>
  <c r="H24" i="8"/>
  <c r="G24" i="8"/>
  <c r="F24" i="8"/>
  <c r="E24" i="8"/>
  <c r="U23" i="8"/>
  <c r="S23" i="8"/>
  <c r="T23" i="8" s="1"/>
  <c r="R23" i="8"/>
  <c r="P23" i="8"/>
  <c r="N23" i="8"/>
  <c r="O23" i="8" s="1"/>
  <c r="M23" i="8"/>
  <c r="F76" i="7" s="1"/>
  <c r="K23" i="8"/>
  <c r="E76" i="7" s="1"/>
  <c r="I23" i="8"/>
  <c r="D76" i="7" s="1"/>
  <c r="H23" i="8"/>
  <c r="G23" i="8"/>
  <c r="F23" i="8"/>
  <c r="E23" i="8"/>
  <c r="D23" i="8"/>
  <c r="A23" i="8"/>
  <c r="U22" i="8"/>
  <c r="Q22" i="8"/>
  <c r="T22" i="8" s="1"/>
  <c r="S22" i="8"/>
  <c r="P22" i="8"/>
  <c r="O22" i="8"/>
  <c r="M22" i="8"/>
  <c r="F54" i="7" s="1"/>
  <c r="L22" i="8"/>
  <c r="N22" i="8"/>
  <c r="K22" i="8"/>
  <c r="E54" i="7" s="1"/>
  <c r="J22" i="8"/>
  <c r="I22" i="8"/>
  <c r="D54" i="7" s="1"/>
  <c r="H22" i="8"/>
  <c r="G22" i="8"/>
  <c r="F22" i="8"/>
  <c r="E22" i="8"/>
  <c r="U21" i="8"/>
  <c r="T21" i="8"/>
  <c r="R21" i="8"/>
  <c r="Q21" i="8"/>
  <c r="S21" i="8"/>
  <c r="P21" i="8"/>
  <c r="O21" i="8"/>
  <c r="L21" i="8"/>
  <c r="M21" i="8" s="1"/>
  <c r="F73" i="7" s="1"/>
  <c r="N21" i="8"/>
  <c r="K21" i="8"/>
  <c r="E73" i="7" s="1"/>
  <c r="J21" i="8"/>
  <c r="I21" i="8"/>
  <c r="D73" i="7" s="1"/>
  <c r="H21" i="8"/>
  <c r="G21" i="8"/>
  <c r="F21" i="8"/>
  <c r="E21" i="8"/>
  <c r="U20" i="8"/>
  <c r="T20" i="8"/>
  <c r="Q20" i="8"/>
  <c r="R20" i="8" s="1"/>
  <c r="S20" i="8"/>
  <c r="P20" i="8"/>
  <c r="L20" i="8"/>
  <c r="O20" i="8" s="1"/>
  <c r="N20" i="8"/>
  <c r="K20" i="8"/>
  <c r="J20" i="8"/>
  <c r="I20" i="8"/>
  <c r="H20" i="8"/>
  <c r="G20" i="8"/>
  <c r="F20" i="8"/>
  <c r="E20" i="8"/>
  <c r="U19" i="8"/>
  <c r="Q19" i="8"/>
  <c r="T19" i="8" s="1"/>
  <c r="S19" i="8"/>
  <c r="P19" i="8"/>
  <c r="L19" i="8"/>
  <c r="O19" i="8" s="1"/>
  <c r="N19" i="8"/>
  <c r="K19" i="8"/>
  <c r="J19" i="8"/>
  <c r="I19" i="8"/>
  <c r="H19" i="8"/>
  <c r="G19" i="8"/>
  <c r="F19" i="8"/>
  <c r="E19" i="8"/>
  <c r="U18" i="8"/>
  <c r="Q18" i="8"/>
  <c r="R18" i="8" s="1"/>
  <c r="S18" i="8"/>
  <c r="P18" i="8"/>
  <c r="O18" i="8"/>
  <c r="M18" i="8"/>
  <c r="F46" i="7" s="1"/>
  <c r="L18" i="8"/>
  <c r="N18" i="8"/>
  <c r="K18" i="8"/>
  <c r="E46" i="7" s="1"/>
  <c r="J18" i="8"/>
  <c r="I18" i="8"/>
  <c r="D46" i="7" s="1"/>
  <c r="H18" i="8"/>
  <c r="G18" i="8"/>
  <c r="F18" i="8"/>
  <c r="E18" i="8"/>
  <c r="U17" i="8"/>
  <c r="T17" i="8"/>
  <c r="R17" i="8"/>
  <c r="Q17" i="8"/>
  <c r="S17" i="8"/>
  <c r="P17" i="8"/>
  <c r="O17" i="8"/>
  <c r="L17" i="8"/>
  <c r="M17" i="8" s="1"/>
  <c r="N17" i="8"/>
  <c r="K17" i="8"/>
  <c r="E21" i="7" s="1"/>
  <c r="J17" i="8"/>
  <c r="I17" i="8"/>
  <c r="H17" i="8"/>
  <c r="G17" i="8"/>
  <c r="F17" i="8"/>
  <c r="E17" i="8"/>
  <c r="U16" i="8"/>
  <c r="T16" i="8"/>
  <c r="Q16" i="8"/>
  <c r="R16" i="8" s="1"/>
  <c r="S16" i="8"/>
  <c r="P16" i="8"/>
  <c r="L16" i="8"/>
  <c r="O16" i="8" s="1"/>
  <c r="N16" i="8"/>
  <c r="K16" i="8"/>
  <c r="E27" i="7" s="1"/>
  <c r="J16" i="8"/>
  <c r="I16" i="8"/>
  <c r="H16" i="8"/>
  <c r="G16" i="8"/>
  <c r="F16" i="8"/>
  <c r="E16" i="8"/>
  <c r="G15" i="8"/>
  <c r="A15" i="8"/>
  <c r="U14" i="8"/>
  <c r="T14" i="8"/>
  <c r="R14" i="8"/>
  <c r="Q14" i="8"/>
  <c r="S14" i="8"/>
  <c r="P14" i="8"/>
  <c r="O14" i="8"/>
  <c r="L14" i="8"/>
  <c r="M14" i="8" s="1"/>
  <c r="F12" i="7" s="1"/>
  <c r="N14" i="8"/>
  <c r="K14" i="8"/>
  <c r="E12" i="7" s="1"/>
  <c r="J14" i="8"/>
  <c r="I14" i="8"/>
  <c r="D12" i="7" s="1"/>
  <c r="H14" i="8"/>
  <c r="G14" i="8"/>
  <c r="F14" i="8"/>
  <c r="E14" i="8"/>
  <c r="U13" i="8"/>
  <c r="T13" i="8"/>
  <c r="Q13" i="8"/>
  <c r="R13" i="8" s="1"/>
  <c r="S13" i="8"/>
  <c r="P13" i="8"/>
  <c r="L13" i="8"/>
  <c r="O13" i="8" s="1"/>
  <c r="N13" i="8"/>
  <c r="K13" i="8"/>
  <c r="E16" i="7" s="1"/>
  <c r="J13" i="8"/>
  <c r="I13" i="8"/>
  <c r="D16" i="7" s="1"/>
  <c r="H13" i="8"/>
  <c r="G13" i="8"/>
  <c r="F13" i="8"/>
  <c r="E13" i="8"/>
  <c r="U12" i="8"/>
  <c r="Q12" i="8"/>
  <c r="T12" i="8" s="1"/>
  <c r="S12" i="8"/>
  <c r="P12" i="8"/>
  <c r="L12" i="8"/>
  <c r="O12" i="8" s="1"/>
  <c r="N12" i="8"/>
  <c r="K12" i="8"/>
  <c r="E13" i="7" s="1"/>
  <c r="J12" i="8"/>
  <c r="I12" i="8"/>
  <c r="D13" i="7" s="1"/>
  <c r="H12" i="8"/>
  <c r="G12" i="8"/>
  <c r="F12" i="8"/>
  <c r="E12" i="8"/>
  <c r="U11" i="8"/>
  <c r="Q11" i="8"/>
  <c r="T11" i="8" s="1"/>
  <c r="S11" i="8"/>
  <c r="P11" i="8"/>
  <c r="O11" i="8"/>
  <c r="M11" i="8"/>
  <c r="F14" i="7" s="1"/>
  <c r="L11" i="8"/>
  <c r="N11" i="8"/>
  <c r="K11" i="8"/>
  <c r="E14" i="7" s="1"/>
  <c r="J11" i="8"/>
  <c r="I11" i="8"/>
  <c r="D14" i="7" s="1"/>
  <c r="H11" i="8"/>
  <c r="G11" i="8"/>
  <c r="F11" i="8"/>
  <c r="E11" i="8"/>
  <c r="U10" i="8"/>
  <c r="T10" i="8"/>
  <c r="R10" i="8"/>
  <c r="Q10" i="8"/>
  <c r="S10" i="8"/>
  <c r="P10" i="8"/>
  <c r="O10" i="8"/>
  <c r="L10" i="8"/>
  <c r="M10" i="8" s="1"/>
  <c r="F15" i="7" s="1"/>
  <c r="N10" i="8"/>
  <c r="K10" i="8"/>
  <c r="E15" i="7" s="1"/>
  <c r="J10" i="8"/>
  <c r="I10" i="8"/>
  <c r="D15" i="7" s="1"/>
  <c r="H10" i="8"/>
  <c r="G10" i="8"/>
  <c r="F10" i="8"/>
  <c r="E10" i="8"/>
  <c r="U9" i="8"/>
  <c r="T9" i="8"/>
  <c r="Q9" i="8"/>
  <c r="R9" i="8" s="1"/>
  <c r="S9" i="8"/>
  <c r="P9" i="8"/>
  <c r="L9" i="8"/>
  <c r="O9" i="8" s="1"/>
  <c r="N9" i="8"/>
  <c r="K9" i="8"/>
  <c r="E17" i="7" s="1"/>
  <c r="J9" i="8"/>
  <c r="I9" i="8"/>
  <c r="D17" i="7" s="1"/>
  <c r="H9" i="8"/>
  <c r="G9" i="8"/>
  <c r="F9" i="8"/>
  <c r="E9" i="8"/>
  <c r="G8" i="8"/>
  <c r="A8" i="8"/>
  <c r="G7" i="8"/>
  <c r="A7" i="8"/>
  <c r="G6" i="8"/>
  <c r="A6" i="8"/>
  <c r="D142" i="6"/>
  <c r="C142" i="6"/>
  <c r="B142" i="6"/>
  <c r="A142" i="6"/>
  <c r="D141" i="6"/>
  <c r="C141" i="6"/>
  <c r="B141" i="6"/>
  <c r="A141" i="6"/>
  <c r="D140" i="6"/>
  <c r="C140" i="6"/>
  <c r="B140" i="6"/>
  <c r="A140" i="6"/>
  <c r="A139" i="6"/>
  <c r="D138" i="6"/>
  <c r="C138" i="6"/>
  <c r="B138" i="6"/>
  <c r="A138" i="6"/>
  <c r="D137" i="6"/>
  <c r="C137" i="6"/>
  <c r="B137" i="6"/>
  <c r="A137" i="6"/>
  <c r="D136" i="6"/>
  <c r="C136" i="6"/>
  <c r="B136" i="6"/>
  <c r="A136" i="6"/>
  <c r="D135" i="6"/>
  <c r="C135" i="6"/>
  <c r="B135" i="6"/>
  <c r="A135" i="6"/>
  <c r="A134" i="6"/>
  <c r="A133" i="6"/>
  <c r="D132" i="6"/>
  <c r="C132" i="6"/>
  <c r="B132" i="6"/>
  <c r="A132" i="6"/>
  <c r="D131" i="6"/>
  <c r="C131" i="6"/>
  <c r="B131" i="6"/>
  <c r="A131" i="6"/>
  <c r="D130" i="6"/>
  <c r="C130" i="6"/>
  <c r="B130" i="6"/>
  <c r="A130" i="6"/>
  <c r="D129" i="6"/>
  <c r="C129" i="6"/>
  <c r="B129" i="6"/>
  <c r="A129" i="6"/>
  <c r="A128" i="6"/>
  <c r="D127" i="6"/>
  <c r="C127" i="6"/>
  <c r="B127" i="6"/>
  <c r="A127" i="6"/>
  <c r="D126" i="6"/>
  <c r="C126" i="6"/>
  <c r="B126" i="6"/>
  <c r="A126" i="6"/>
  <c r="D125" i="6"/>
  <c r="C125" i="6"/>
  <c r="B125" i="6"/>
  <c r="A125" i="6"/>
  <c r="A124" i="6"/>
  <c r="A123" i="6"/>
  <c r="A122" i="6"/>
  <c r="D121" i="6"/>
  <c r="C121" i="6"/>
  <c r="B121" i="6"/>
  <c r="A121" i="6"/>
  <c r="D120" i="6"/>
  <c r="C120" i="6"/>
  <c r="B120" i="6"/>
  <c r="A120" i="6"/>
  <c r="D119" i="6"/>
  <c r="C119" i="6"/>
  <c r="B119" i="6"/>
  <c r="A119" i="6"/>
  <c r="A118" i="6"/>
  <c r="A117" i="6"/>
  <c r="D116" i="6"/>
  <c r="C116" i="6"/>
  <c r="B116" i="6"/>
  <c r="A116" i="6"/>
  <c r="D115" i="6"/>
  <c r="C115" i="6"/>
  <c r="B115" i="6"/>
  <c r="A115" i="6"/>
  <c r="D114" i="6"/>
  <c r="C114" i="6"/>
  <c r="B114" i="6"/>
  <c r="A114" i="6"/>
  <c r="D113" i="6"/>
  <c r="C113" i="6"/>
  <c r="B113" i="6"/>
  <c r="A113" i="6"/>
  <c r="D112" i="6"/>
  <c r="C112" i="6"/>
  <c r="B112" i="6"/>
  <c r="A112" i="6"/>
  <c r="D111" i="6"/>
  <c r="C111" i="6"/>
  <c r="B111" i="6"/>
  <c r="A111" i="6"/>
  <c r="D110" i="6"/>
  <c r="C110" i="6"/>
  <c r="B110" i="6"/>
  <c r="A110" i="6"/>
  <c r="D109" i="6"/>
  <c r="C109" i="6"/>
  <c r="B109" i="6"/>
  <c r="A109" i="6"/>
  <c r="D108" i="6"/>
  <c r="C108" i="6"/>
  <c r="B108" i="6"/>
  <c r="A108" i="6"/>
  <c r="D107" i="6"/>
  <c r="C107" i="6"/>
  <c r="B107" i="6"/>
  <c r="A107" i="6"/>
  <c r="D106" i="6"/>
  <c r="C106" i="6"/>
  <c r="B106" i="6"/>
  <c r="A106" i="6"/>
  <c r="D105" i="6"/>
  <c r="C105" i="6"/>
  <c r="B105" i="6"/>
  <c r="A105" i="6"/>
  <c r="D104" i="6"/>
  <c r="C104" i="6"/>
  <c r="B104" i="6"/>
  <c r="A104" i="6"/>
  <c r="A103" i="6"/>
  <c r="D102" i="6"/>
  <c r="C102" i="6"/>
  <c r="B102" i="6"/>
  <c r="A102" i="6"/>
  <c r="A101" i="6"/>
  <c r="A100" i="6"/>
  <c r="D99" i="6"/>
  <c r="C99" i="6"/>
  <c r="B99" i="6"/>
  <c r="A99" i="6"/>
  <c r="D98" i="6"/>
  <c r="C98" i="6"/>
  <c r="B98" i="6"/>
  <c r="A98" i="6"/>
  <c r="D97" i="6"/>
  <c r="C97" i="6"/>
  <c r="B97" i="6"/>
  <c r="A97" i="6"/>
  <c r="D96" i="6"/>
  <c r="C96" i="6"/>
  <c r="B96" i="6"/>
  <c r="A96" i="6"/>
  <c r="D95" i="6"/>
  <c r="C95" i="6"/>
  <c r="B95" i="6"/>
  <c r="A95" i="6"/>
  <c r="D94" i="6"/>
  <c r="C94" i="6"/>
  <c r="B94" i="6"/>
  <c r="A94" i="6"/>
  <c r="D93" i="6"/>
  <c r="C93" i="6"/>
  <c r="B93" i="6"/>
  <c r="A93" i="6"/>
  <c r="D92" i="6"/>
  <c r="C92" i="6"/>
  <c r="B92" i="6"/>
  <c r="A92" i="6"/>
  <c r="A91" i="6"/>
  <c r="A90" i="6"/>
  <c r="D89" i="6"/>
  <c r="C89" i="6"/>
  <c r="B89" i="6"/>
  <c r="A89" i="6"/>
  <c r="D88" i="6"/>
  <c r="C88" i="6"/>
  <c r="B88" i="6"/>
  <c r="A88" i="6"/>
  <c r="D87" i="6"/>
  <c r="C87" i="6"/>
  <c r="B87" i="6"/>
  <c r="A87" i="6"/>
  <c r="D86" i="6"/>
  <c r="C86" i="6"/>
  <c r="B86" i="6"/>
  <c r="A86" i="6"/>
  <c r="A85" i="6"/>
  <c r="D84" i="6"/>
  <c r="C84" i="6"/>
  <c r="B84" i="6"/>
  <c r="A84" i="6"/>
  <c r="D83" i="6"/>
  <c r="C83" i="6"/>
  <c r="B83" i="6"/>
  <c r="A83" i="6"/>
  <c r="D82" i="6"/>
  <c r="C82" i="6"/>
  <c r="B82" i="6"/>
  <c r="A82" i="6"/>
  <c r="D81" i="6"/>
  <c r="C81" i="6"/>
  <c r="B81" i="6"/>
  <c r="A81" i="6"/>
  <c r="A80" i="6"/>
  <c r="A79" i="6"/>
  <c r="D78" i="6"/>
  <c r="C78" i="6"/>
  <c r="B78" i="6"/>
  <c r="A78" i="6"/>
  <c r="D77" i="6"/>
  <c r="C77" i="6"/>
  <c r="B77" i="6"/>
  <c r="A77" i="6"/>
  <c r="D76" i="6"/>
  <c r="C76" i="6"/>
  <c r="B76" i="6"/>
  <c r="A76" i="6"/>
  <c r="D75" i="6"/>
  <c r="C75" i="6"/>
  <c r="B75" i="6"/>
  <c r="A75" i="6"/>
  <c r="D74" i="6"/>
  <c r="C74" i="6"/>
  <c r="B74" i="6"/>
  <c r="A74" i="6"/>
  <c r="D73" i="6"/>
  <c r="C73" i="6"/>
  <c r="B73" i="6"/>
  <c r="A73" i="6"/>
  <c r="D72" i="6"/>
  <c r="C72" i="6"/>
  <c r="B72" i="6"/>
  <c r="A72" i="6"/>
  <c r="D71" i="6"/>
  <c r="C71" i="6"/>
  <c r="B71" i="6"/>
  <c r="A71" i="6"/>
  <c r="D70" i="6"/>
  <c r="C70" i="6"/>
  <c r="B70" i="6"/>
  <c r="A70" i="6"/>
  <c r="D69" i="6"/>
  <c r="C69" i="6"/>
  <c r="B69" i="6"/>
  <c r="A69" i="6"/>
  <c r="D68" i="6"/>
  <c r="C68" i="6"/>
  <c r="B68" i="6"/>
  <c r="A68" i="6"/>
  <c r="D67" i="6"/>
  <c r="C67" i="6"/>
  <c r="B67" i="6"/>
  <c r="A67" i="6"/>
  <c r="D66" i="6"/>
  <c r="C66" i="6"/>
  <c r="B66" i="6"/>
  <c r="A66" i="6"/>
  <c r="D65" i="6"/>
  <c r="C65" i="6"/>
  <c r="B65" i="6"/>
  <c r="A65" i="6"/>
  <c r="D64" i="6"/>
  <c r="C64" i="6"/>
  <c r="B64" i="6"/>
  <c r="A64" i="6"/>
  <c r="D63" i="6"/>
  <c r="C63" i="6"/>
  <c r="B63" i="6"/>
  <c r="A63" i="6"/>
  <c r="D62" i="6"/>
  <c r="C62" i="6"/>
  <c r="B62" i="6"/>
  <c r="A62" i="6"/>
  <c r="D61" i="6"/>
  <c r="C61" i="6"/>
  <c r="B61" i="6"/>
  <c r="A61" i="6"/>
  <c r="D60" i="6"/>
  <c r="C60" i="6"/>
  <c r="B60" i="6"/>
  <c r="A60" i="6"/>
  <c r="D59" i="6"/>
  <c r="C59" i="6"/>
  <c r="B59" i="6"/>
  <c r="A59" i="6"/>
  <c r="D58" i="6"/>
  <c r="C58" i="6"/>
  <c r="B58" i="6"/>
  <c r="A58" i="6"/>
  <c r="D57" i="6"/>
  <c r="C57" i="6"/>
  <c r="B57" i="6"/>
  <c r="A57" i="6"/>
  <c r="D56" i="6"/>
  <c r="C56" i="6"/>
  <c r="B56" i="6"/>
  <c r="A56" i="6"/>
  <c r="D55" i="6"/>
  <c r="C55" i="6"/>
  <c r="B55" i="6"/>
  <c r="A55" i="6"/>
  <c r="D54" i="6"/>
  <c r="C54" i="6"/>
  <c r="B54" i="6"/>
  <c r="A54" i="6"/>
  <c r="D53" i="6"/>
  <c r="C53" i="6"/>
  <c r="B53" i="6"/>
  <c r="A53" i="6"/>
  <c r="D52" i="6"/>
  <c r="C52" i="6"/>
  <c r="B52" i="6"/>
  <c r="A52" i="6"/>
  <c r="D51" i="6"/>
  <c r="C51" i="6"/>
  <c r="B51" i="6"/>
  <c r="A51" i="6"/>
  <c r="D50" i="6"/>
  <c r="C50" i="6"/>
  <c r="B50" i="6"/>
  <c r="A50" i="6"/>
  <c r="D49" i="6"/>
  <c r="C49" i="6"/>
  <c r="B49" i="6"/>
  <c r="A49" i="6"/>
  <c r="A48" i="6"/>
  <c r="D47" i="6"/>
  <c r="C47" i="6"/>
  <c r="B47" i="6"/>
  <c r="A47" i="6"/>
  <c r="A46" i="6"/>
  <c r="A45" i="6"/>
  <c r="D44" i="6"/>
  <c r="C44" i="6"/>
  <c r="B44" i="6"/>
  <c r="A44" i="6"/>
  <c r="D43" i="6"/>
  <c r="C43" i="6"/>
  <c r="B43" i="6"/>
  <c r="A43" i="6"/>
  <c r="D42" i="6"/>
  <c r="C42" i="6"/>
  <c r="B42" i="6"/>
  <c r="A42" i="6"/>
  <c r="D41" i="6"/>
  <c r="C41" i="6"/>
  <c r="B41" i="6"/>
  <c r="A41" i="6"/>
  <c r="D40" i="6"/>
  <c r="C40" i="6"/>
  <c r="B40" i="6"/>
  <c r="A40" i="6"/>
  <c r="D39" i="6"/>
  <c r="C39" i="6"/>
  <c r="B39" i="6"/>
  <c r="A39" i="6"/>
  <c r="D38" i="6"/>
  <c r="C38" i="6"/>
  <c r="B38" i="6"/>
  <c r="A38" i="6"/>
  <c r="D37" i="6"/>
  <c r="C37" i="6"/>
  <c r="B37" i="6"/>
  <c r="A37" i="6"/>
  <c r="D36" i="6"/>
  <c r="C36" i="6"/>
  <c r="B36" i="6"/>
  <c r="A36" i="6"/>
  <c r="D35" i="6"/>
  <c r="C35" i="6"/>
  <c r="B35" i="6"/>
  <c r="A35" i="6"/>
  <c r="D34" i="6"/>
  <c r="C34" i="6"/>
  <c r="B34" i="6"/>
  <c r="A34" i="6"/>
  <c r="D33" i="6"/>
  <c r="C33" i="6"/>
  <c r="B33" i="6"/>
  <c r="A33" i="6"/>
  <c r="D32" i="6"/>
  <c r="C32" i="6"/>
  <c r="B32" i="6"/>
  <c r="A32" i="6"/>
  <c r="D31" i="6"/>
  <c r="C31" i="6"/>
  <c r="B31" i="6"/>
  <c r="A31" i="6"/>
  <c r="D30" i="6"/>
  <c r="C30" i="6"/>
  <c r="B30" i="6"/>
  <c r="A30" i="6"/>
  <c r="D29" i="6"/>
  <c r="C29" i="6"/>
  <c r="B29" i="6"/>
  <c r="A29" i="6"/>
  <c r="D28" i="6"/>
  <c r="C28" i="6"/>
  <c r="B28" i="6"/>
  <c r="A28" i="6"/>
  <c r="D27" i="6"/>
  <c r="C27" i="6"/>
  <c r="B27" i="6"/>
  <c r="A27" i="6"/>
  <c r="D26" i="6"/>
  <c r="C26" i="6"/>
  <c r="B26" i="6"/>
  <c r="A26" i="6"/>
  <c r="A25" i="6"/>
  <c r="D24" i="6"/>
  <c r="C24" i="6"/>
  <c r="B24" i="6"/>
  <c r="A24" i="6"/>
  <c r="D23" i="6"/>
  <c r="C23" i="6"/>
  <c r="B23" i="6"/>
  <c r="A23" i="6"/>
  <c r="D22" i="6"/>
  <c r="C22" i="6"/>
  <c r="B22" i="6"/>
  <c r="A22" i="6"/>
  <c r="D21" i="6"/>
  <c r="C21" i="6"/>
  <c r="B21" i="6"/>
  <c r="A21" i="6"/>
  <c r="D20" i="6"/>
  <c r="C20" i="6"/>
  <c r="B20" i="6"/>
  <c r="A20" i="6"/>
  <c r="D19" i="6"/>
  <c r="C19" i="6"/>
  <c r="B19" i="6"/>
  <c r="A19" i="6"/>
  <c r="A18" i="6"/>
  <c r="A17" i="6"/>
  <c r="A16" i="6"/>
  <c r="AD12" i="6"/>
  <c r="A12" i="6"/>
  <c r="A11" i="6"/>
  <c r="A1" i="6"/>
  <c r="H842" i="5"/>
  <c r="H839" i="5"/>
  <c r="C842" i="5"/>
  <c r="C839" i="5"/>
  <c r="I836" i="5"/>
  <c r="C836" i="5"/>
  <c r="I835" i="5"/>
  <c r="C835" i="5"/>
  <c r="I834" i="5"/>
  <c r="C834" i="5"/>
  <c r="I25" i="5"/>
  <c r="I24" i="5"/>
  <c r="I23" i="5"/>
  <c r="I22" i="5"/>
  <c r="I21" i="5"/>
  <c r="I20" i="5"/>
  <c r="A830" i="5"/>
  <c r="A827" i="5"/>
  <c r="J824" i="5"/>
  <c r="I824" i="5"/>
  <c r="H824" i="5"/>
  <c r="G824" i="5"/>
  <c r="F824" i="5"/>
  <c r="J823" i="5"/>
  <c r="I825" i="5" s="1"/>
  <c r="K825" i="5" s="1"/>
  <c r="I823" i="5"/>
  <c r="H823" i="5"/>
  <c r="G823" i="5"/>
  <c r="F823" i="5"/>
  <c r="V822" i="5"/>
  <c r="T822" i="5"/>
  <c r="R822" i="5"/>
  <c r="U822" i="5"/>
  <c r="S822" i="5"/>
  <c r="Q822" i="5"/>
  <c r="E822" i="5"/>
  <c r="D822" i="5"/>
  <c r="C822" i="5"/>
  <c r="B822" i="5"/>
  <c r="A822" i="5"/>
  <c r="K821" i="5"/>
  <c r="J820" i="5"/>
  <c r="I820" i="5"/>
  <c r="H820" i="5"/>
  <c r="G820" i="5"/>
  <c r="F820" i="5"/>
  <c r="J819" i="5"/>
  <c r="I821" i="5" s="1"/>
  <c r="P821" i="5" s="1"/>
  <c r="I819" i="5"/>
  <c r="H819" i="5"/>
  <c r="G819" i="5"/>
  <c r="F819" i="5"/>
  <c r="V818" i="5"/>
  <c r="T818" i="5"/>
  <c r="R818" i="5"/>
  <c r="U818" i="5"/>
  <c r="S818" i="5"/>
  <c r="Q818" i="5"/>
  <c r="E818" i="5"/>
  <c r="D818" i="5"/>
  <c r="C818" i="5"/>
  <c r="B818" i="5"/>
  <c r="A818" i="5"/>
  <c r="E816" i="5"/>
  <c r="J815" i="5"/>
  <c r="I815" i="5"/>
  <c r="H815" i="5"/>
  <c r="G815" i="5"/>
  <c r="F815" i="5"/>
  <c r="J814" i="5"/>
  <c r="I814" i="5"/>
  <c r="H814" i="5"/>
  <c r="G814" i="5"/>
  <c r="F814" i="5"/>
  <c r="V813" i="5"/>
  <c r="J816" i="5" s="1"/>
  <c r="T813" i="5"/>
  <c r="R813" i="5"/>
  <c r="U813" i="5"/>
  <c r="S813" i="5"/>
  <c r="Q813" i="5"/>
  <c r="E813" i="5"/>
  <c r="D813" i="5"/>
  <c r="C813" i="5"/>
  <c r="B813" i="5"/>
  <c r="A813" i="5"/>
  <c r="A812" i="5"/>
  <c r="A809" i="5"/>
  <c r="A806" i="5"/>
  <c r="K803" i="5"/>
  <c r="H803" i="5"/>
  <c r="G803" i="5"/>
  <c r="E803" i="5"/>
  <c r="E802" i="5"/>
  <c r="E801" i="5"/>
  <c r="E800" i="5"/>
  <c r="J799" i="5"/>
  <c r="I799" i="5"/>
  <c r="H799" i="5"/>
  <c r="F799" i="5"/>
  <c r="V799" i="5"/>
  <c r="T799" i="5"/>
  <c r="J801" i="5" s="1"/>
  <c r="I804" i="5" s="1"/>
  <c r="R799" i="5"/>
  <c r="U799" i="5"/>
  <c r="S799" i="5"/>
  <c r="Q799" i="5"/>
  <c r="E799" i="5"/>
  <c r="D799" i="5"/>
  <c r="B799" i="5"/>
  <c r="A799" i="5"/>
  <c r="J798" i="5"/>
  <c r="I798" i="5"/>
  <c r="H798" i="5"/>
  <c r="G798" i="5"/>
  <c r="F798" i="5"/>
  <c r="J797" i="5"/>
  <c r="I797" i="5"/>
  <c r="H797" i="5"/>
  <c r="G797" i="5"/>
  <c r="F797" i="5"/>
  <c r="J796" i="5"/>
  <c r="I796" i="5"/>
  <c r="H796" i="5"/>
  <c r="G796" i="5"/>
  <c r="F796" i="5"/>
  <c r="J795" i="5"/>
  <c r="I795" i="5"/>
  <c r="H795" i="5"/>
  <c r="G795" i="5"/>
  <c r="F795" i="5"/>
  <c r="V794" i="5"/>
  <c r="J802" i="5" s="1"/>
  <c r="T794" i="5"/>
  <c r="R794" i="5"/>
  <c r="J800" i="5" s="1"/>
  <c r="U794" i="5"/>
  <c r="S794" i="5"/>
  <c r="Q794" i="5"/>
  <c r="E794" i="5"/>
  <c r="D794" i="5"/>
  <c r="C794" i="5"/>
  <c r="B794" i="5"/>
  <c r="A794" i="5"/>
  <c r="K792" i="5"/>
  <c r="H792" i="5"/>
  <c r="G792" i="5"/>
  <c r="E792" i="5"/>
  <c r="J791" i="5"/>
  <c r="E791" i="5"/>
  <c r="E790" i="5"/>
  <c r="E789" i="5"/>
  <c r="J788" i="5"/>
  <c r="I788" i="5"/>
  <c r="H788" i="5"/>
  <c r="G788" i="5"/>
  <c r="F788" i="5"/>
  <c r="J787" i="5"/>
  <c r="I787" i="5"/>
  <c r="H787" i="5"/>
  <c r="G787" i="5"/>
  <c r="F787" i="5"/>
  <c r="J786" i="5"/>
  <c r="I786" i="5"/>
  <c r="H786" i="5"/>
  <c r="G786" i="5"/>
  <c r="F786" i="5"/>
  <c r="J785" i="5"/>
  <c r="I785" i="5"/>
  <c r="H785" i="5"/>
  <c r="G785" i="5"/>
  <c r="F785" i="5"/>
  <c r="C784" i="5"/>
  <c r="V783" i="5"/>
  <c r="T783" i="5"/>
  <c r="J790" i="5" s="1"/>
  <c r="R783" i="5"/>
  <c r="J789" i="5" s="1"/>
  <c r="U783" i="5"/>
  <c r="S783" i="5"/>
  <c r="Q783" i="5"/>
  <c r="E783" i="5"/>
  <c r="D783" i="5"/>
  <c r="C783" i="5"/>
  <c r="B783" i="5"/>
  <c r="A783" i="5"/>
  <c r="K781" i="5"/>
  <c r="H781" i="5"/>
  <c r="G781" i="5"/>
  <c r="E781" i="5"/>
  <c r="E780" i="5"/>
  <c r="E779" i="5"/>
  <c r="J778" i="5"/>
  <c r="I778" i="5"/>
  <c r="H778" i="5"/>
  <c r="G778" i="5"/>
  <c r="F778" i="5"/>
  <c r="C777" i="5"/>
  <c r="V776" i="5"/>
  <c r="T776" i="5"/>
  <c r="J780" i="5" s="1"/>
  <c r="R776" i="5"/>
  <c r="J779" i="5" s="1"/>
  <c r="U776" i="5"/>
  <c r="S776" i="5"/>
  <c r="Q776" i="5"/>
  <c r="E776" i="5"/>
  <c r="D776" i="5"/>
  <c r="C776" i="5"/>
  <c r="B776" i="5"/>
  <c r="A776" i="5"/>
  <c r="A775" i="5"/>
  <c r="A773" i="5"/>
  <c r="A770" i="5"/>
  <c r="A767" i="5"/>
  <c r="K764" i="5"/>
  <c r="H764" i="5"/>
  <c r="G764" i="5"/>
  <c r="E764" i="5"/>
  <c r="E763" i="5"/>
  <c r="E762" i="5"/>
  <c r="E761" i="5"/>
  <c r="J760" i="5"/>
  <c r="I760" i="5"/>
  <c r="H760" i="5"/>
  <c r="F760" i="5"/>
  <c r="V760" i="5"/>
  <c r="T760" i="5"/>
  <c r="R760" i="5"/>
  <c r="U760" i="5"/>
  <c r="S760" i="5"/>
  <c r="Q760" i="5"/>
  <c r="E760" i="5"/>
  <c r="D760" i="5"/>
  <c r="B760" i="5"/>
  <c r="A760" i="5"/>
  <c r="J759" i="5"/>
  <c r="I759" i="5"/>
  <c r="H759" i="5"/>
  <c r="G759" i="5"/>
  <c r="F759" i="5"/>
  <c r="J758" i="5"/>
  <c r="I758" i="5"/>
  <c r="H758" i="5"/>
  <c r="G758" i="5"/>
  <c r="F758" i="5"/>
  <c r="J757" i="5"/>
  <c r="I757" i="5"/>
  <c r="H757" i="5"/>
  <c r="G757" i="5"/>
  <c r="F757" i="5"/>
  <c r="J756" i="5"/>
  <c r="I756" i="5"/>
  <c r="H756" i="5"/>
  <c r="G756" i="5"/>
  <c r="F756" i="5"/>
  <c r="V755" i="5"/>
  <c r="T755" i="5"/>
  <c r="J762" i="5" s="1"/>
  <c r="R755" i="5"/>
  <c r="J761" i="5" s="1"/>
  <c r="U755" i="5"/>
  <c r="S755" i="5"/>
  <c r="Q755" i="5"/>
  <c r="E755" i="5"/>
  <c r="D755" i="5"/>
  <c r="C755" i="5"/>
  <c r="B755" i="5"/>
  <c r="A755" i="5"/>
  <c r="K753" i="5"/>
  <c r="H753" i="5"/>
  <c r="G753" i="5"/>
  <c r="E753" i="5"/>
  <c r="E752" i="5"/>
  <c r="E751" i="5"/>
  <c r="J750" i="5"/>
  <c r="E750" i="5"/>
  <c r="J749" i="5"/>
  <c r="I749" i="5"/>
  <c r="H749" i="5"/>
  <c r="G749" i="5"/>
  <c r="F749" i="5"/>
  <c r="J748" i="5"/>
  <c r="I748" i="5"/>
  <c r="H748" i="5"/>
  <c r="G748" i="5"/>
  <c r="F748" i="5"/>
  <c r="J747" i="5"/>
  <c r="I747" i="5"/>
  <c r="H747" i="5"/>
  <c r="G747" i="5"/>
  <c r="F747" i="5"/>
  <c r="J746" i="5"/>
  <c r="I746" i="5"/>
  <c r="H746" i="5"/>
  <c r="G746" i="5"/>
  <c r="F746" i="5"/>
  <c r="C745" i="5"/>
  <c r="V744" i="5"/>
  <c r="J752" i="5" s="1"/>
  <c r="T744" i="5"/>
  <c r="J751" i="5" s="1"/>
  <c r="R744" i="5"/>
  <c r="U744" i="5"/>
  <c r="S744" i="5"/>
  <c r="Q744" i="5"/>
  <c r="E744" i="5"/>
  <c r="D744" i="5"/>
  <c r="C744" i="5"/>
  <c r="B744" i="5"/>
  <c r="A744" i="5"/>
  <c r="K742" i="5"/>
  <c r="H742" i="5"/>
  <c r="G742" i="5"/>
  <c r="E742" i="5"/>
  <c r="E741" i="5"/>
  <c r="J740" i="5"/>
  <c r="E740" i="5"/>
  <c r="E739" i="5"/>
  <c r="J738" i="5"/>
  <c r="I738" i="5"/>
  <c r="H738" i="5"/>
  <c r="G738" i="5"/>
  <c r="F738" i="5"/>
  <c r="J737" i="5"/>
  <c r="I737" i="5"/>
  <c r="H737" i="5"/>
  <c r="G737" i="5"/>
  <c r="F737" i="5"/>
  <c r="J736" i="5"/>
  <c r="I736" i="5"/>
  <c r="H736" i="5"/>
  <c r="G736" i="5"/>
  <c r="F736" i="5"/>
  <c r="J735" i="5"/>
  <c r="I735" i="5"/>
  <c r="H735" i="5"/>
  <c r="G735" i="5"/>
  <c r="F735" i="5"/>
  <c r="C734" i="5"/>
  <c r="V733" i="5"/>
  <c r="J741" i="5" s="1"/>
  <c r="T733" i="5"/>
  <c r="R733" i="5"/>
  <c r="J739" i="5" s="1"/>
  <c r="I743" i="5" s="1"/>
  <c r="U733" i="5"/>
  <c r="S733" i="5"/>
  <c r="Q733" i="5"/>
  <c r="E733" i="5"/>
  <c r="D733" i="5"/>
  <c r="C733" i="5"/>
  <c r="B733" i="5"/>
  <c r="A733" i="5"/>
  <c r="A732" i="5"/>
  <c r="A729" i="5"/>
  <c r="K726" i="5"/>
  <c r="H726" i="5"/>
  <c r="G726" i="5"/>
  <c r="E726" i="5"/>
  <c r="E725" i="5"/>
  <c r="J724" i="5"/>
  <c r="E724" i="5"/>
  <c r="E723" i="5"/>
  <c r="J722" i="5"/>
  <c r="I722" i="5"/>
  <c r="H722" i="5"/>
  <c r="G722" i="5"/>
  <c r="F722" i="5"/>
  <c r="J721" i="5"/>
  <c r="I727" i="5" s="1"/>
  <c r="I721" i="5"/>
  <c r="H721" i="5"/>
  <c r="G721" i="5"/>
  <c r="F721" i="5"/>
  <c r="J720" i="5"/>
  <c r="I720" i="5"/>
  <c r="H720" i="5"/>
  <c r="G720" i="5"/>
  <c r="F720" i="5"/>
  <c r="V719" i="5"/>
  <c r="J725" i="5" s="1"/>
  <c r="T719" i="5"/>
  <c r="R719" i="5"/>
  <c r="J723" i="5" s="1"/>
  <c r="U719" i="5"/>
  <c r="S719" i="5"/>
  <c r="Q719" i="5"/>
  <c r="E719" i="5"/>
  <c r="D719" i="5"/>
  <c r="C719" i="5"/>
  <c r="B719" i="5"/>
  <c r="A719" i="5"/>
  <c r="K717" i="5"/>
  <c r="H717" i="5"/>
  <c r="G717" i="5"/>
  <c r="E717" i="5"/>
  <c r="J716" i="5"/>
  <c r="E716" i="5"/>
  <c r="E715" i="5"/>
  <c r="J714" i="5"/>
  <c r="E714" i="5"/>
  <c r="J713" i="5"/>
  <c r="I713" i="5"/>
  <c r="H713" i="5"/>
  <c r="G713" i="5"/>
  <c r="F713" i="5"/>
  <c r="J712" i="5"/>
  <c r="I712" i="5"/>
  <c r="H712" i="5"/>
  <c r="G712" i="5"/>
  <c r="F712" i="5"/>
  <c r="J711" i="5"/>
  <c r="I718" i="5" s="1"/>
  <c r="I711" i="5"/>
  <c r="H711" i="5"/>
  <c r="G711" i="5"/>
  <c r="F711" i="5"/>
  <c r="V710" i="5"/>
  <c r="T710" i="5"/>
  <c r="J715" i="5" s="1"/>
  <c r="R710" i="5"/>
  <c r="U710" i="5"/>
  <c r="S710" i="5"/>
  <c r="Q710" i="5"/>
  <c r="E710" i="5"/>
  <c r="D710" i="5"/>
  <c r="A710" i="5"/>
  <c r="K708" i="5"/>
  <c r="H708" i="5"/>
  <c r="G708" i="5"/>
  <c r="E708" i="5"/>
  <c r="E707" i="5"/>
  <c r="E706" i="5"/>
  <c r="E705" i="5"/>
  <c r="J704" i="5"/>
  <c r="I704" i="5"/>
  <c r="H704" i="5"/>
  <c r="G704" i="5"/>
  <c r="F704" i="5"/>
  <c r="J703" i="5"/>
  <c r="I703" i="5"/>
  <c r="H703" i="5"/>
  <c r="G703" i="5"/>
  <c r="F703" i="5"/>
  <c r="J702" i="5"/>
  <c r="I702" i="5"/>
  <c r="H702" i="5"/>
  <c r="G702" i="5"/>
  <c r="F702" i="5"/>
  <c r="C701" i="5"/>
  <c r="V700" i="5"/>
  <c r="J707" i="5" s="1"/>
  <c r="T700" i="5"/>
  <c r="J706" i="5" s="1"/>
  <c r="I709" i="5" s="1"/>
  <c r="R700" i="5"/>
  <c r="J705" i="5" s="1"/>
  <c r="U700" i="5"/>
  <c r="S700" i="5"/>
  <c r="Q700" i="5"/>
  <c r="E700" i="5"/>
  <c r="D700" i="5"/>
  <c r="A700" i="5"/>
  <c r="A699" i="5"/>
  <c r="A697" i="5"/>
  <c r="I694" i="5"/>
  <c r="A694" i="5"/>
  <c r="A692" i="5"/>
  <c r="A689" i="5"/>
  <c r="A686" i="5"/>
  <c r="K683" i="5"/>
  <c r="H683" i="5"/>
  <c r="G683" i="5"/>
  <c r="E683" i="5"/>
  <c r="E682" i="5"/>
  <c r="E681" i="5"/>
  <c r="J680" i="5"/>
  <c r="E680" i="5"/>
  <c r="J679" i="5"/>
  <c r="I679" i="5"/>
  <c r="H679" i="5"/>
  <c r="G679" i="5"/>
  <c r="F679" i="5"/>
  <c r="J678" i="5"/>
  <c r="I678" i="5"/>
  <c r="H678" i="5"/>
  <c r="G678" i="5"/>
  <c r="F678" i="5"/>
  <c r="J677" i="5"/>
  <c r="I677" i="5"/>
  <c r="H677" i="5"/>
  <c r="G677" i="5"/>
  <c r="F677" i="5"/>
  <c r="J676" i="5"/>
  <c r="I676" i="5"/>
  <c r="H676" i="5"/>
  <c r="G676" i="5"/>
  <c r="F676" i="5"/>
  <c r="C675" i="5"/>
  <c r="V674" i="5"/>
  <c r="J682" i="5" s="1"/>
  <c r="T674" i="5"/>
  <c r="J681" i="5" s="1"/>
  <c r="R674" i="5"/>
  <c r="U674" i="5"/>
  <c r="S674" i="5"/>
  <c r="Q674" i="5"/>
  <c r="E674" i="5"/>
  <c r="D674" i="5"/>
  <c r="C674" i="5"/>
  <c r="B674" i="5"/>
  <c r="A674" i="5"/>
  <c r="K672" i="5"/>
  <c r="H672" i="5"/>
  <c r="G672" i="5"/>
  <c r="E672" i="5"/>
  <c r="E671" i="5"/>
  <c r="J670" i="5"/>
  <c r="E670" i="5"/>
  <c r="E669" i="5"/>
  <c r="J668" i="5"/>
  <c r="I668" i="5"/>
  <c r="H668" i="5"/>
  <c r="G668" i="5"/>
  <c r="F668" i="5"/>
  <c r="J667" i="5"/>
  <c r="I667" i="5"/>
  <c r="H667" i="5"/>
  <c r="G667" i="5"/>
  <c r="F667" i="5"/>
  <c r="J666" i="5"/>
  <c r="I666" i="5"/>
  <c r="H666" i="5"/>
  <c r="G666" i="5"/>
  <c r="F666" i="5"/>
  <c r="J665" i="5"/>
  <c r="I665" i="5"/>
  <c r="H665" i="5"/>
  <c r="G665" i="5"/>
  <c r="F665" i="5"/>
  <c r="C664" i="5"/>
  <c r="V663" i="5"/>
  <c r="J671" i="5" s="1"/>
  <c r="T663" i="5"/>
  <c r="R663" i="5"/>
  <c r="J669" i="5" s="1"/>
  <c r="I673" i="5" s="1"/>
  <c r="U663" i="5"/>
  <c r="S663" i="5"/>
  <c r="Q663" i="5"/>
  <c r="E663" i="5"/>
  <c r="D663" i="5"/>
  <c r="C663" i="5"/>
  <c r="B663" i="5"/>
  <c r="A663" i="5"/>
  <c r="K661" i="5"/>
  <c r="H661" i="5"/>
  <c r="G661" i="5"/>
  <c r="E661" i="5"/>
  <c r="E660" i="5"/>
  <c r="J659" i="5"/>
  <c r="E659" i="5"/>
  <c r="E658" i="5"/>
  <c r="J657" i="5"/>
  <c r="I657" i="5"/>
  <c r="H657" i="5"/>
  <c r="G657" i="5"/>
  <c r="F657" i="5"/>
  <c r="J656" i="5"/>
  <c r="I656" i="5"/>
  <c r="H656" i="5"/>
  <c r="G656" i="5"/>
  <c r="F656" i="5"/>
  <c r="J655" i="5"/>
  <c r="I655" i="5"/>
  <c r="H655" i="5"/>
  <c r="G655" i="5"/>
  <c r="F655" i="5"/>
  <c r="J654" i="5"/>
  <c r="I654" i="5"/>
  <c r="H654" i="5"/>
  <c r="G654" i="5"/>
  <c r="F654" i="5"/>
  <c r="V653" i="5"/>
  <c r="J660" i="5" s="1"/>
  <c r="T653" i="5"/>
  <c r="R653" i="5"/>
  <c r="J658" i="5" s="1"/>
  <c r="U653" i="5"/>
  <c r="S653" i="5"/>
  <c r="Q653" i="5"/>
  <c r="E653" i="5"/>
  <c r="D653" i="5"/>
  <c r="C653" i="5"/>
  <c r="B653" i="5"/>
  <c r="A653" i="5"/>
  <c r="A652" i="5"/>
  <c r="A650" i="5"/>
  <c r="A647" i="5"/>
  <c r="A644" i="5"/>
  <c r="C642" i="5"/>
  <c r="K640" i="5"/>
  <c r="H640" i="5"/>
  <c r="G640" i="5"/>
  <c r="E640" i="5"/>
  <c r="E639" i="5"/>
  <c r="J638" i="5"/>
  <c r="I641" i="5" s="1"/>
  <c r="E638" i="5"/>
  <c r="J637" i="5"/>
  <c r="I637" i="5"/>
  <c r="H637" i="5"/>
  <c r="G637" i="5"/>
  <c r="F637" i="5"/>
  <c r="J636" i="5"/>
  <c r="I636" i="5"/>
  <c r="H636" i="5"/>
  <c r="G636" i="5"/>
  <c r="F636" i="5"/>
  <c r="V635" i="5"/>
  <c r="T635" i="5"/>
  <c r="J639" i="5" s="1"/>
  <c r="R635" i="5"/>
  <c r="U635" i="5"/>
  <c r="S635" i="5"/>
  <c r="Q635" i="5"/>
  <c r="E635" i="5"/>
  <c r="D635" i="5"/>
  <c r="C635" i="5"/>
  <c r="B635" i="5"/>
  <c r="A635" i="5"/>
  <c r="K633" i="5"/>
  <c r="H633" i="5"/>
  <c r="G633" i="5"/>
  <c r="E633" i="5"/>
  <c r="E632" i="5"/>
  <c r="E631" i="5"/>
  <c r="E630" i="5"/>
  <c r="J629" i="5"/>
  <c r="I629" i="5"/>
  <c r="H629" i="5"/>
  <c r="G629" i="5"/>
  <c r="F629" i="5"/>
  <c r="J628" i="5"/>
  <c r="I628" i="5"/>
  <c r="H628" i="5"/>
  <c r="G628" i="5"/>
  <c r="F628" i="5"/>
  <c r="J627" i="5"/>
  <c r="I627" i="5"/>
  <c r="H627" i="5"/>
  <c r="G627" i="5"/>
  <c r="F627" i="5"/>
  <c r="J626" i="5"/>
  <c r="I626" i="5"/>
  <c r="H626" i="5"/>
  <c r="G626" i="5"/>
  <c r="F626" i="5"/>
  <c r="V625" i="5"/>
  <c r="J632" i="5" s="1"/>
  <c r="T625" i="5"/>
  <c r="J631" i="5" s="1"/>
  <c r="R625" i="5"/>
  <c r="J630" i="5" s="1"/>
  <c r="U625" i="5"/>
  <c r="S625" i="5"/>
  <c r="Q625" i="5"/>
  <c r="E625" i="5"/>
  <c r="D625" i="5"/>
  <c r="C625" i="5"/>
  <c r="B625" i="5"/>
  <c r="A625" i="5"/>
  <c r="K623" i="5"/>
  <c r="H623" i="5"/>
  <c r="G623" i="5"/>
  <c r="E623" i="5"/>
  <c r="E622" i="5"/>
  <c r="E621" i="5"/>
  <c r="J620" i="5"/>
  <c r="I620" i="5"/>
  <c r="H620" i="5"/>
  <c r="G620" i="5"/>
  <c r="F620" i="5"/>
  <c r="V619" i="5"/>
  <c r="T619" i="5"/>
  <c r="J622" i="5" s="1"/>
  <c r="R619" i="5"/>
  <c r="J621" i="5" s="1"/>
  <c r="I624" i="5" s="1"/>
  <c r="U619" i="5"/>
  <c r="S619" i="5"/>
  <c r="Q619" i="5"/>
  <c r="E619" i="5"/>
  <c r="D619" i="5"/>
  <c r="C619" i="5"/>
  <c r="B619" i="5"/>
  <c r="A619" i="5"/>
  <c r="K617" i="5"/>
  <c r="H617" i="5"/>
  <c r="G617" i="5"/>
  <c r="E617" i="5"/>
  <c r="E616" i="5"/>
  <c r="E615" i="5"/>
  <c r="J614" i="5"/>
  <c r="E614" i="5"/>
  <c r="J613" i="5"/>
  <c r="I613" i="5"/>
  <c r="H613" i="5"/>
  <c r="G613" i="5"/>
  <c r="F613" i="5"/>
  <c r="J612" i="5"/>
  <c r="I612" i="5"/>
  <c r="H612" i="5"/>
  <c r="G612" i="5"/>
  <c r="F612" i="5"/>
  <c r="J611" i="5"/>
  <c r="I611" i="5"/>
  <c r="H611" i="5"/>
  <c r="G611" i="5"/>
  <c r="F611" i="5"/>
  <c r="J610" i="5"/>
  <c r="I610" i="5"/>
  <c r="H610" i="5"/>
  <c r="G610" i="5"/>
  <c r="F610" i="5"/>
  <c r="C609" i="5"/>
  <c r="V608" i="5"/>
  <c r="J616" i="5" s="1"/>
  <c r="T608" i="5"/>
  <c r="J615" i="5" s="1"/>
  <c r="R608" i="5"/>
  <c r="U608" i="5"/>
  <c r="S608" i="5"/>
  <c r="Q608" i="5"/>
  <c r="E608" i="5"/>
  <c r="D608" i="5"/>
  <c r="C608" i="5"/>
  <c r="B608" i="5"/>
  <c r="A608" i="5"/>
  <c r="K606" i="5"/>
  <c r="H606" i="5"/>
  <c r="G606" i="5"/>
  <c r="E606" i="5"/>
  <c r="E605" i="5"/>
  <c r="J604" i="5"/>
  <c r="E604" i="5"/>
  <c r="J603" i="5"/>
  <c r="I603" i="5"/>
  <c r="H603" i="5"/>
  <c r="G603" i="5"/>
  <c r="F603" i="5"/>
  <c r="J602" i="5"/>
  <c r="I602" i="5"/>
  <c r="H602" i="5"/>
  <c r="G602" i="5"/>
  <c r="F602" i="5"/>
  <c r="C601" i="5"/>
  <c r="V600" i="5"/>
  <c r="T600" i="5"/>
  <c r="J605" i="5" s="1"/>
  <c r="I607" i="5" s="1"/>
  <c r="R600" i="5"/>
  <c r="U600" i="5"/>
  <c r="S600" i="5"/>
  <c r="Q600" i="5"/>
  <c r="E600" i="5"/>
  <c r="D600" i="5"/>
  <c r="C600" i="5"/>
  <c r="B600" i="5"/>
  <c r="A600" i="5"/>
  <c r="K598" i="5"/>
  <c r="H598" i="5"/>
  <c r="G598" i="5"/>
  <c r="E598" i="5"/>
  <c r="E597" i="5"/>
  <c r="J596" i="5"/>
  <c r="E596" i="5"/>
  <c r="E595" i="5"/>
  <c r="J594" i="5"/>
  <c r="I594" i="5"/>
  <c r="H594" i="5"/>
  <c r="G594" i="5"/>
  <c r="F594" i="5"/>
  <c r="J593" i="5"/>
  <c r="I593" i="5"/>
  <c r="H593" i="5"/>
  <c r="G593" i="5"/>
  <c r="F593" i="5"/>
  <c r="J592" i="5"/>
  <c r="I592" i="5"/>
  <c r="H592" i="5"/>
  <c r="G592" i="5"/>
  <c r="F592" i="5"/>
  <c r="J591" i="5"/>
  <c r="I591" i="5"/>
  <c r="H591" i="5"/>
  <c r="G591" i="5"/>
  <c r="F591" i="5"/>
  <c r="V590" i="5"/>
  <c r="J597" i="5" s="1"/>
  <c r="T590" i="5"/>
  <c r="R590" i="5"/>
  <c r="J595" i="5" s="1"/>
  <c r="U590" i="5"/>
  <c r="S590" i="5"/>
  <c r="Q590" i="5"/>
  <c r="E590" i="5"/>
  <c r="D590" i="5"/>
  <c r="C590" i="5"/>
  <c r="B590" i="5"/>
  <c r="A590" i="5"/>
  <c r="K588" i="5"/>
  <c r="H588" i="5"/>
  <c r="G588" i="5"/>
  <c r="E588" i="5"/>
  <c r="E587" i="5"/>
  <c r="E586" i="5"/>
  <c r="E585" i="5"/>
  <c r="J584" i="5"/>
  <c r="I584" i="5"/>
  <c r="H584" i="5"/>
  <c r="F584" i="5"/>
  <c r="V584" i="5"/>
  <c r="T584" i="5"/>
  <c r="R584" i="5"/>
  <c r="U584" i="5"/>
  <c r="S584" i="5"/>
  <c r="Q584" i="5"/>
  <c r="E584" i="5"/>
  <c r="D584" i="5"/>
  <c r="C584" i="5"/>
  <c r="B584" i="5"/>
  <c r="A584" i="5"/>
  <c r="J583" i="5"/>
  <c r="I583" i="5"/>
  <c r="H583" i="5"/>
  <c r="F583" i="5"/>
  <c r="V583" i="5"/>
  <c r="T583" i="5"/>
  <c r="R583" i="5"/>
  <c r="U583" i="5"/>
  <c r="S583" i="5"/>
  <c r="Q583" i="5"/>
  <c r="E583" i="5"/>
  <c r="D583" i="5"/>
  <c r="C583" i="5"/>
  <c r="B583" i="5"/>
  <c r="A583" i="5"/>
  <c r="J582" i="5"/>
  <c r="I582" i="5"/>
  <c r="H582" i="5"/>
  <c r="G582" i="5"/>
  <c r="F582" i="5"/>
  <c r="J581" i="5"/>
  <c r="I581" i="5"/>
  <c r="H581" i="5"/>
  <c r="G581" i="5"/>
  <c r="F581" i="5"/>
  <c r="J580" i="5"/>
  <c r="I580" i="5"/>
  <c r="H580" i="5"/>
  <c r="G580" i="5"/>
  <c r="F580" i="5"/>
  <c r="J579" i="5"/>
  <c r="I579" i="5"/>
  <c r="H579" i="5"/>
  <c r="G579" i="5"/>
  <c r="F579" i="5"/>
  <c r="V578" i="5"/>
  <c r="T578" i="5"/>
  <c r="J586" i="5" s="1"/>
  <c r="R578" i="5"/>
  <c r="J585" i="5" s="1"/>
  <c r="U578" i="5"/>
  <c r="S578" i="5"/>
  <c r="Q578" i="5"/>
  <c r="E578" i="5"/>
  <c r="D578" i="5"/>
  <c r="C578" i="5"/>
  <c r="B578" i="5"/>
  <c r="A578" i="5"/>
  <c r="K576" i="5"/>
  <c r="H576" i="5"/>
  <c r="G576" i="5"/>
  <c r="E576" i="5"/>
  <c r="E575" i="5"/>
  <c r="E574" i="5"/>
  <c r="E573" i="5"/>
  <c r="J572" i="5"/>
  <c r="I572" i="5"/>
  <c r="H572" i="5"/>
  <c r="F572" i="5"/>
  <c r="V572" i="5"/>
  <c r="T572" i="5"/>
  <c r="R572" i="5"/>
  <c r="U572" i="5"/>
  <c r="S572" i="5"/>
  <c r="Q572" i="5"/>
  <c r="E572" i="5"/>
  <c r="D572" i="5"/>
  <c r="C572" i="5"/>
  <c r="B572" i="5"/>
  <c r="A572" i="5"/>
  <c r="J571" i="5"/>
  <c r="I571" i="5"/>
  <c r="H571" i="5"/>
  <c r="F571" i="5"/>
  <c r="V571" i="5"/>
  <c r="T571" i="5"/>
  <c r="R571" i="5"/>
  <c r="J573" i="5" s="1"/>
  <c r="U571" i="5"/>
  <c r="S571" i="5"/>
  <c r="Q571" i="5"/>
  <c r="E571" i="5"/>
  <c r="D571" i="5"/>
  <c r="C571" i="5"/>
  <c r="B571" i="5"/>
  <c r="A571" i="5"/>
  <c r="J570" i="5"/>
  <c r="I570" i="5"/>
  <c r="H570" i="5"/>
  <c r="F570" i="5"/>
  <c r="V570" i="5"/>
  <c r="T570" i="5"/>
  <c r="R570" i="5"/>
  <c r="U570" i="5"/>
  <c r="S570" i="5"/>
  <c r="Q570" i="5"/>
  <c r="E570" i="5"/>
  <c r="D570" i="5"/>
  <c r="C570" i="5"/>
  <c r="B570" i="5"/>
  <c r="A570" i="5"/>
  <c r="J569" i="5"/>
  <c r="I569" i="5"/>
  <c r="H569" i="5"/>
  <c r="G569" i="5"/>
  <c r="F569" i="5"/>
  <c r="J568" i="5"/>
  <c r="I568" i="5"/>
  <c r="H568" i="5"/>
  <c r="G568" i="5"/>
  <c r="F568" i="5"/>
  <c r="J567" i="5"/>
  <c r="I567" i="5"/>
  <c r="H567" i="5"/>
  <c r="G567" i="5"/>
  <c r="F567" i="5"/>
  <c r="J566" i="5"/>
  <c r="I566" i="5"/>
  <c r="H566" i="5"/>
  <c r="G566" i="5"/>
  <c r="F566" i="5"/>
  <c r="V565" i="5"/>
  <c r="J575" i="5" s="1"/>
  <c r="T565" i="5"/>
  <c r="R565" i="5"/>
  <c r="U565" i="5"/>
  <c r="S565" i="5"/>
  <c r="Q565" i="5"/>
  <c r="E565" i="5"/>
  <c r="D565" i="5"/>
  <c r="C565" i="5"/>
  <c r="B565" i="5"/>
  <c r="A565" i="5"/>
  <c r="A564" i="5"/>
  <c r="A561" i="5"/>
  <c r="K558" i="5"/>
  <c r="H558" i="5"/>
  <c r="G558" i="5"/>
  <c r="E558" i="5"/>
  <c r="J557" i="5"/>
  <c r="E557" i="5"/>
  <c r="E556" i="5"/>
  <c r="E555" i="5"/>
  <c r="J554" i="5"/>
  <c r="I554" i="5"/>
  <c r="H554" i="5"/>
  <c r="G554" i="5"/>
  <c r="F554" i="5"/>
  <c r="J553" i="5"/>
  <c r="I553" i="5"/>
  <c r="H553" i="5"/>
  <c r="G553" i="5"/>
  <c r="F553" i="5"/>
  <c r="J552" i="5"/>
  <c r="I559" i="5" s="1"/>
  <c r="I552" i="5"/>
  <c r="H552" i="5"/>
  <c r="G552" i="5"/>
  <c r="F552" i="5"/>
  <c r="V551" i="5"/>
  <c r="T551" i="5"/>
  <c r="J556" i="5" s="1"/>
  <c r="R551" i="5"/>
  <c r="J555" i="5" s="1"/>
  <c r="U551" i="5"/>
  <c r="S551" i="5"/>
  <c r="Q551" i="5"/>
  <c r="E551" i="5"/>
  <c r="D551" i="5"/>
  <c r="A551" i="5"/>
  <c r="A550" i="5"/>
  <c r="A548" i="5"/>
  <c r="A545" i="5"/>
  <c r="A542" i="5"/>
  <c r="K539" i="5"/>
  <c r="H539" i="5"/>
  <c r="G539" i="5"/>
  <c r="E539" i="5"/>
  <c r="J538" i="5"/>
  <c r="E538" i="5"/>
  <c r="E537" i="5"/>
  <c r="J536" i="5"/>
  <c r="E536" i="5"/>
  <c r="J535" i="5"/>
  <c r="I535" i="5"/>
  <c r="H535" i="5"/>
  <c r="G535" i="5"/>
  <c r="F535" i="5"/>
  <c r="J534" i="5"/>
  <c r="I534" i="5"/>
  <c r="H534" i="5"/>
  <c r="G534" i="5"/>
  <c r="F534" i="5"/>
  <c r="J533" i="5"/>
  <c r="I533" i="5"/>
  <c r="H533" i="5"/>
  <c r="G533" i="5"/>
  <c r="F533" i="5"/>
  <c r="J532" i="5"/>
  <c r="I532" i="5"/>
  <c r="H532" i="5"/>
  <c r="G532" i="5"/>
  <c r="F532" i="5"/>
  <c r="C531" i="5"/>
  <c r="V530" i="5"/>
  <c r="T530" i="5"/>
  <c r="J537" i="5" s="1"/>
  <c r="R530" i="5"/>
  <c r="U530" i="5"/>
  <c r="S530" i="5"/>
  <c r="Q530" i="5"/>
  <c r="E530" i="5"/>
  <c r="D530" i="5"/>
  <c r="C530" i="5"/>
  <c r="B530" i="5"/>
  <c r="A530" i="5"/>
  <c r="K528" i="5"/>
  <c r="H528" i="5"/>
  <c r="G528" i="5"/>
  <c r="E528" i="5"/>
  <c r="J527" i="5"/>
  <c r="E527" i="5"/>
  <c r="E526" i="5"/>
  <c r="J525" i="5"/>
  <c r="E525" i="5"/>
  <c r="J524" i="5"/>
  <c r="I524" i="5"/>
  <c r="H524" i="5"/>
  <c r="G524" i="5"/>
  <c r="F524" i="5"/>
  <c r="J523" i="5"/>
  <c r="I523" i="5"/>
  <c r="H523" i="5"/>
  <c r="G523" i="5"/>
  <c r="F523" i="5"/>
  <c r="J522" i="5"/>
  <c r="I529" i="5" s="1"/>
  <c r="I522" i="5"/>
  <c r="H522" i="5"/>
  <c r="G522" i="5"/>
  <c r="F522" i="5"/>
  <c r="J521" i="5"/>
  <c r="I521" i="5"/>
  <c r="H521" i="5"/>
  <c r="G521" i="5"/>
  <c r="F521" i="5"/>
  <c r="C520" i="5"/>
  <c r="V519" i="5"/>
  <c r="T519" i="5"/>
  <c r="J526" i="5" s="1"/>
  <c r="R519" i="5"/>
  <c r="U519" i="5"/>
  <c r="S519" i="5"/>
  <c r="Q519" i="5"/>
  <c r="E519" i="5"/>
  <c r="D519" i="5"/>
  <c r="C519" i="5"/>
  <c r="B519" i="5"/>
  <c r="A519" i="5"/>
  <c r="K517" i="5"/>
  <c r="H517" i="5"/>
  <c r="G517" i="5"/>
  <c r="E517" i="5"/>
  <c r="E516" i="5"/>
  <c r="E515" i="5"/>
  <c r="E514" i="5"/>
  <c r="J513" i="5"/>
  <c r="I513" i="5"/>
  <c r="H513" i="5"/>
  <c r="G513" i="5"/>
  <c r="F513" i="5"/>
  <c r="J512" i="5"/>
  <c r="I512" i="5"/>
  <c r="H512" i="5"/>
  <c r="G512" i="5"/>
  <c r="F512" i="5"/>
  <c r="J511" i="5"/>
  <c r="I511" i="5"/>
  <c r="H511" i="5"/>
  <c r="G511" i="5"/>
  <c r="F511" i="5"/>
  <c r="J510" i="5"/>
  <c r="I510" i="5"/>
  <c r="H510" i="5"/>
  <c r="G510" i="5"/>
  <c r="F510" i="5"/>
  <c r="V509" i="5"/>
  <c r="J516" i="5" s="1"/>
  <c r="T509" i="5"/>
  <c r="J515" i="5" s="1"/>
  <c r="R509" i="5"/>
  <c r="J514" i="5" s="1"/>
  <c r="U509" i="5"/>
  <c r="S509" i="5"/>
  <c r="Q509" i="5"/>
  <c r="E509" i="5"/>
  <c r="D509" i="5"/>
  <c r="C509" i="5"/>
  <c r="B509" i="5"/>
  <c r="A509" i="5"/>
  <c r="K507" i="5"/>
  <c r="H507" i="5"/>
  <c r="G507" i="5"/>
  <c r="E507" i="5"/>
  <c r="E506" i="5"/>
  <c r="E505" i="5"/>
  <c r="J504" i="5"/>
  <c r="I504" i="5"/>
  <c r="H504" i="5"/>
  <c r="F504" i="5"/>
  <c r="V504" i="5"/>
  <c r="T504" i="5"/>
  <c r="R504" i="5"/>
  <c r="J505" i="5" s="1"/>
  <c r="I508" i="5" s="1"/>
  <c r="U504" i="5"/>
  <c r="S504" i="5"/>
  <c r="Q504" i="5"/>
  <c r="E504" i="5"/>
  <c r="D504" i="5"/>
  <c r="C504" i="5"/>
  <c r="B504" i="5"/>
  <c r="A504" i="5"/>
  <c r="J503" i="5"/>
  <c r="I503" i="5"/>
  <c r="H503" i="5"/>
  <c r="G503" i="5"/>
  <c r="F503" i="5"/>
  <c r="J502" i="5"/>
  <c r="I502" i="5"/>
  <c r="H502" i="5"/>
  <c r="G502" i="5"/>
  <c r="F502" i="5"/>
  <c r="V501" i="5"/>
  <c r="T501" i="5"/>
  <c r="J506" i="5" s="1"/>
  <c r="R501" i="5"/>
  <c r="U501" i="5"/>
  <c r="S501" i="5"/>
  <c r="Q501" i="5"/>
  <c r="E501" i="5"/>
  <c r="D501" i="5"/>
  <c r="C501" i="5"/>
  <c r="B501" i="5"/>
  <c r="A501" i="5"/>
  <c r="K499" i="5"/>
  <c r="H499" i="5"/>
  <c r="G499" i="5"/>
  <c r="E499" i="5"/>
  <c r="J498" i="5"/>
  <c r="E498" i="5"/>
  <c r="E497" i="5"/>
  <c r="E496" i="5"/>
  <c r="J495" i="5"/>
  <c r="I495" i="5"/>
  <c r="H495" i="5"/>
  <c r="G495" i="5"/>
  <c r="F495" i="5"/>
  <c r="J494" i="5"/>
  <c r="I494" i="5"/>
  <c r="H494" i="5"/>
  <c r="G494" i="5"/>
  <c r="F494" i="5"/>
  <c r="J493" i="5"/>
  <c r="I493" i="5"/>
  <c r="H493" i="5"/>
  <c r="G493" i="5"/>
  <c r="F493" i="5"/>
  <c r="J492" i="5"/>
  <c r="I492" i="5"/>
  <c r="H492" i="5"/>
  <c r="G492" i="5"/>
  <c r="F492" i="5"/>
  <c r="V491" i="5"/>
  <c r="T491" i="5"/>
  <c r="J497" i="5" s="1"/>
  <c r="R491" i="5"/>
  <c r="J496" i="5" s="1"/>
  <c r="U491" i="5"/>
  <c r="S491" i="5"/>
  <c r="Q491" i="5"/>
  <c r="E491" i="5"/>
  <c r="D491" i="5"/>
  <c r="C491" i="5"/>
  <c r="B491" i="5"/>
  <c r="A491" i="5"/>
  <c r="K489" i="5"/>
  <c r="H489" i="5"/>
  <c r="G489" i="5"/>
  <c r="E489" i="5"/>
  <c r="J488" i="5"/>
  <c r="E488" i="5"/>
  <c r="E487" i="5"/>
  <c r="E486" i="5"/>
  <c r="J485" i="5"/>
  <c r="I485" i="5"/>
  <c r="H485" i="5"/>
  <c r="G485" i="5"/>
  <c r="F485" i="5"/>
  <c r="J484" i="5"/>
  <c r="I484" i="5"/>
  <c r="H484" i="5"/>
  <c r="G484" i="5"/>
  <c r="F484" i="5"/>
  <c r="J483" i="5"/>
  <c r="I483" i="5"/>
  <c r="H483" i="5"/>
  <c r="G483" i="5"/>
  <c r="F483" i="5"/>
  <c r="C482" i="5"/>
  <c r="V481" i="5"/>
  <c r="T481" i="5"/>
  <c r="J487" i="5" s="1"/>
  <c r="R481" i="5"/>
  <c r="J486" i="5" s="1"/>
  <c r="U481" i="5"/>
  <c r="S481" i="5"/>
  <c r="Q481" i="5"/>
  <c r="E481" i="5"/>
  <c r="D481" i="5"/>
  <c r="C481" i="5"/>
  <c r="B481" i="5"/>
  <c r="A481" i="5"/>
  <c r="K479" i="5"/>
  <c r="H479" i="5"/>
  <c r="G479" i="5"/>
  <c r="E479" i="5"/>
  <c r="E478" i="5"/>
  <c r="E477" i="5"/>
  <c r="J476" i="5"/>
  <c r="I480" i="5" s="1"/>
  <c r="I476" i="5"/>
  <c r="H476" i="5"/>
  <c r="G476" i="5"/>
  <c r="F476" i="5"/>
  <c r="C475" i="5"/>
  <c r="V474" i="5"/>
  <c r="T474" i="5"/>
  <c r="J478" i="5" s="1"/>
  <c r="R474" i="5"/>
  <c r="J477" i="5" s="1"/>
  <c r="U474" i="5"/>
  <c r="S474" i="5"/>
  <c r="Q474" i="5"/>
  <c r="E474" i="5"/>
  <c r="D474" i="5"/>
  <c r="C474" i="5"/>
  <c r="B474" i="5"/>
  <c r="A474" i="5"/>
  <c r="A473" i="5"/>
  <c r="A471" i="5"/>
  <c r="A468" i="5"/>
  <c r="A465" i="5"/>
  <c r="K462" i="5"/>
  <c r="H462" i="5"/>
  <c r="G462" i="5"/>
  <c r="E462" i="5"/>
  <c r="E461" i="5"/>
  <c r="E460" i="5"/>
  <c r="E459" i="5"/>
  <c r="J458" i="5"/>
  <c r="I458" i="5"/>
  <c r="H458" i="5"/>
  <c r="F458" i="5"/>
  <c r="V458" i="5"/>
  <c r="T458" i="5"/>
  <c r="R458" i="5"/>
  <c r="U458" i="5"/>
  <c r="S458" i="5"/>
  <c r="Q458" i="5"/>
  <c r="E458" i="5"/>
  <c r="D458" i="5"/>
  <c r="B458" i="5"/>
  <c r="A458" i="5"/>
  <c r="J457" i="5"/>
  <c r="I457" i="5"/>
  <c r="H457" i="5"/>
  <c r="G457" i="5"/>
  <c r="F457" i="5"/>
  <c r="J456" i="5"/>
  <c r="I456" i="5"/>
  <c r="H456" i="5"/>
  <c r="G456" i="5"/>
  <c r="F456" i="5"/>
  <c r="J455" i="5"/>
  <c r="I455" i="5"/>
  <c r="H455" i="5"/>
  <c r="G455" i="5"/>
  <c r="F455" i="5"/>
  <c r="J454" i="5"/>
  <c r="I454" i="5"/>
  <c r="H454" i="5"/>
  <c r="G454" i="5"/>
  <c r="F454" i="5"/>
  <c r="V453" i="5"/>
  <c r="J461" i="5" s="1"/>
  <c r="T453" i="5"/>
  <c r="J460" i="5" s="1"/>
  <c r="R453" i="5"/>
  <c r="J459" i="5" s="1"/>
  <c r="U453" i="5"/>
  <c r="S453" i="5"/>
  <c r="Q453" i="5"/>
  <c r="E453" i="5"/>
  <c r="D453" i="5"/>
  <c r="C453" i="5"/>
  <c r="B453" i="5"/>
  <c r="A453" i="5"/>
  <c r="K451" i="5"/>
  <c r="H451" i="5"/>
  <c r="G451" i="5"/>
  <c r="E451" i="5"/>
  <c r="J450" i="5"/>
  <c r="E450" i="5"/>
  <c r="E449" i="5"/>
  <c r="J448" i="5"/>
  <c r="E448" i="5"/>
  <c r="J447" i="5"/>
  <c r="I447" i="5"/>
  <c r="H447" i="5"/>
  <c r="G447" i="5"/>
  <c r="F447" i="5"/>
  <c r="J446" i="5"/>
  <c r="I446" i="5"/>
  <c r="H446" i="5"/>
  <c r="G446" i="5"/>
  <c r="F446" i="5"/>
  <c r="J445" i="5"/>
  <c r="I452" i="5" s="1"/>
  <c r="I445" i="5"/>
  <c r="H445" i="5"/>
  <c r="G445" i="5"/>
  <c r="F445" i="5"/>
  <c r="J444" i="5"/>
  <c r="I444" i="5"/>
  <c r="H444" i="5"/>
  <c r="G444" i="5"/>
  <c r="F444" i="5"/>
  <c r="C443" i="5"/>
  <c r="V442" i="5"/>
  <c r="T442" i="5"/>
  <c r="J449" i="5" s="1"/>
  <c r="R442" i="5"/>
  <c r="U442" i="5"/>
  <c r="S442" i="5"/>
  <c r="Q442" i="5"/>
  <c r="E442" i="5"/>
  <c r="D442" i="5"/>
  <c r="C442" i="5"/>
  <c r="B442" i="5"/>
  <c r="A442" i="5"/>
  <c r="K440" i="5"/>
  <c r="H440" i="5"/>
  <c r="G440" i="5"/>
  <c r="E440" i="5"/>
  <c r="E439" i="5"/>
  <c r="J438" i="5"/>
  <c r="E438" i="5"/>
  <c r="E437" i="5"/>
  <c r="J436" i="5"/>
  <c r="I436" i="5"/>
  <c r="H436" i="5"/>
  <c r="G436" i="5"/>
  <c r="F436" i="5"/>
  <c r="J435" i="5"/>
  <c r="I435" i="5"/>
  <c r="H435" i="5"/>
  <c r="G435" i="5"/>
  <c r="F435" i="5"/>
  <c r="J434" i="5"/>
  <c r="I434" i="5"/>
  <c r="H434" i="5"/>
  <c r="G434" i="5"/>
  <c r="F434" i="5"/>
  <c r="J433" i="5"/>
  <c r="I433" i="5"/>
  <c r="H433" i="5"/>
  <c r="G433" i="5"/>
  <c r="F433" i="5"/>
  <c r="C432" i="5"/>
  <c r="V431" i="5"/>
  <c r="J439" i="5" s="1"/>
  <c r="T431" i="5"/>
  <c r="R431" i="5"/>
  <c r="J437" i="5" s="1"/>
  <c r="I441" i="5" s="1"/>
  <c r="U431" i="5"/>
  <c r="S431" i="5"/>
  <c r="Q431" i="5"/>
  <c r="E431" i="5"/>
  <c r="D431" i="5"/>
  <c r="C431" i="5"/>
  <c r="B431" i="5"/>
  <c r="A431" i="5"/>
  <c r="A430" i="5"/>
  <c r="A427" i="5"/>
  <c r="K424" i="5"/>
  <c r="H424" i="5"/>
  <c r="G424" i="5"/>
  <c r="E424" i="5"/>
  <c r="E423" i="5"/>
  <c r="E422" i="5"/>
  <c r="E421" i="5"/>
  <c r="J420" i="5"/>
  <c r="I420" i="5"/>
  <c r="H420" i="5"/>
  <c r="G420" i="5"/>
  <c r="F420" i="5"/>
  <c r="J419" i="5"/>
  <c r="I419" i="5"/>
  <c r="H419" i="5"/>
  <c r="G419" i="5"/>
  <c r="F419" i="5"/>
  <c r="J418" i="5"/>
  <c r="I418" i="5"/>
  <c r="H418" i="5"/>
  <c r="G418" i="5"/>
  <c r="F418" i="5"/>
  <c r="C417" i="5"/>
  <c r="V416" i="5"/>
  <c r="J423" i="5" s="1"/>
  <c r="T416" i="5"/>
  <c r="J422" i="5" s="1"/>
  <c r="R416" i="5"/>
  <c r="J421" i="5" s="1"/>
  <c r="U416" i="5"/>
  <c r="S416" i="5"/>
  <c r="Q416" i="5"/>
  <c r="E416" i="5"/>
  <c r="D416" i="5"/>
  <c r="C416" i="5"/>
  <c r="B416" i="5"/>
  <c r="A416" i="5"/>
  <c r="K414" i="5"/>
  <c r="H414" i="5"/>
  <c r="G414" i="5"/>
  <c r="E414" i="5"/>
  <c r="E413" i="5"/>
  <c r="E412" i="5"/>
  <c r="E411" i="5"/>
  <c r="J410" i="5"/>
  <c r="I410" i="5"/>
  <c r="H410" i="5"/>
  <c r="G410" i="5"/>
  <c r="F410" i="5"/>
  <c r="J409" i="5"/>
  <c r="I409" i="5"/>
  <c r="H409" i="5"/>
  <c r="G409" i="5"/>
  <c r="F409" i="5"/>
  <c r="J408" i="5"/>
  <c r="I408" i="5"/>
  <c r="H408" i="5"/>
  <c r="G408" i="5"/>
  <c r="F408" i="5"/>
  <c r="V407" i="5"/>
  <c r="J413" i="5" s="1"/>
  <c r="T407" i="5"/>
  <c r="J412" i="5" s="1"/>
  <c r="I415" i="5" s="1"/>
  <c r="R407" i="5"/>
  <c r="J411" i="5" s="1"/>
  <c r="U407" i="5"/>
  <c r="S407" i="5"/>
  <c r="Q407" i="5"/>
  <c r="E407" i="5"/>
  <c r="D407" i="5"/>
  <c r="C407" i="5"/>
  <c r="B407" i="5"/>
  <c r="A407" i="5"/>
  <c r="K405" i="5"/>
  <c r="H405" i="5"/>
  <c r="G405" i="5"/>
  <c r="E405" i="5"/>
  <c r="J404" i="5"/>
  <c r="E404" i="5"/>
  <c r="E403" i="5"/>
  <c r="E402" i="5"/>
  <c r="J401" i="5"/>
  <c r="I401" i="5"/>
  <c r="H401" i="5"/>
  <c r="G401" i="5"/>
  <c r="F401" i="5"/>
  <c r="J400" i="5"/>
  <c r="I400" i="5"/>
  <c r="H400" i="5"/>
  <c r="G400" i="5"/>
  <c r="F400" i="5"/>
  <c r="J399" i="5"/>
  <c r="I406" i="5" s="1"/>
  <c r="I399" i="5"/>
  <c r="H399" i="5"/>
  <c r="G399" i="5"/>
  <c r="F399" i="5"/>
  <c r="V398" i="5"/>
  <c r="T398" i="5"/>
  <c r="J403" i="5" s="1"/>
  <c r="R398" i="5"/>
  <c r="J402" i="5" s="1"/>
  <c r="U398" i="5"/>
  <c r="S398" i="5"/>
  <c r="Q398" i="5"/>
  <c r="E398" i="5"/>
  <c r="D398" i="5"/>
  <c r="A398" i="5"/>
  <c r="K396" i="5"/>
  <c r="H396" i="5"/>
  <c r="G396" i="5"/>
  <c r="E396" i="5"/>
  <c r="E395" i="5"/>
  <c r="E394" i="5"/>
  <c r="E393" i="5"/>
  <c r="J392" i="5"/>
  <c r="I392" i="5"/>
  <c r="H392" i="5"/>
  <c r="G392" i="5"/>
  <c r="F392" i="5"/>
  <c r="J391" i="5"/>
  <c r="I391" i="5"/>
  <c r="H391" i="5"/>
  <c r="G391" i="5"/>
  <c r="F391" i="5"/>
  <c r="J390" i="5"/>
  <c r="I390" i="5"/>
  <c r="H390" i="5"/>
  <c r="G390" i="5"/>
  <c r="F390" i="5"/>
  <c r="C389" i="5"/>
  <c r="V388" i="5"/>
  <c r="J395" i="5" s="1"/>
  <c r="T388" i="5"/>
  <c r="J394" i="5" s="1"/>
  <c r="R388" i="5"/>
  <c r="J393" i="5" s="1"/>
  <c r="U388" i="5"/>
  <c r="S388" i="5"/>
  <c r="Q388" i="5"/>
  <c r="E388" i="5"/>
  <c r="D388" i="5"/>
  <c r="A388" i="5"/>
  <c r="A387" i="5"/>
  <c r="A385" i="5"/>
  <c r="A382" i="5"/>
  <c r="A379" i="5"/>
  <c r="K376" i="5"/>
  <c r="H376" i="5"/>
  <c r="G376" i="5"/>
  <c r="E376" i="5"/>
  <c r="E375" i="5"/>
  <c r="E374" i="5"/>
  <c r="E373" i="5"/>
  <c r="J372" i="5"/>
  <c r="I372" i="5"/>
  <c r="H372" i="5"/>
  <c r="F372" i="5"/>
  <c r="V372" i="5"/>
  <c r="T372" i="5"/>
  <c r="R372" i="5"/>
  <c r="U372" i="5"/>
  <c r="S372" i="5"/>
  <c r="Q372" i="5"/>
  <c r="E372" i="5"/>
  <c r="D372" i="5"/>
  <c r="B372" i="5"/>
  <c r="A372" i="5"/>
  <c r="J371" i="5"/>
  <c r="I371" i="5"/>
  <c r="H371" i="5"/>
  <c r="F371" i="5"/>
  <c r="V371" i="5"/>
  <c r="T371" i="5"/>
  <c r="R371" i="5"/>
  <c r="U371" i="5"/>
  <c r="S371" i="5"/>
  <c r="Q371" i="5"/>
  <c r="E371" i="5"/>
  <c r="D371" i="5"/>
  <c r="B371" i="5"/>
  <c r="A371" i="5"/>
  <c r="J370" i="5"/>
  <c r="I370" i="5"/>
  <c r="H370" i="5"/>
  <c r="F370" i="5"/>
  <c r="V370" i="5"/>
  <c r="T370" i="5"/>
  <c r="R370" i="5"/>
  <c r="U370" i="5"/>
  <c r="S370" i="5"/>
  <c r="Q370" i="5"/>
  <c r="E370" i="5"/>
  <c r="D370" i="5"/>
  <c r="B370" i="5"/>
  <c r="A370" i="5"/>
  <c r="J369" i="5"/>
  <c r="I369" i="5"/>
  <c r="H369" i="5"/>
  <c r="F369" i="5"/>
  <c r="V369" i="5"/>
  <c r="T369" i="5"/>
  <c r="R369" i="5"/>
  <c r="U369" i="5"/>
  <c r="S369" i="5"/>
  <c r="Q369" i="5"/>
  <c r="E369" i="5"/>
  <c r="D369" i="5"/>
  <c r="B369" i="5"/>
  <c r="A369" i="5"/>
  <c r="J368" i="5"/>
  <c r="I368" i="5"/>
  <c r="H368" i="5"/>
  <c r="F368" i="5"/>
  <c r="V368" i="5"/>
  <c r="T368" i="5"/>
  <c r="R368" i="5"/>
  <c r="U368" i="5"/>
  <c r="S368" i="5"/>
  <c r="Q368" i="5"/>
  <c r="E368" i="5"/>
  <c r="D368" i="5"/>
  <c r="B368" i="5"/>
  <c r="A368" i="5"/>
  <c r="J367" i="5"/>
  <c r="I367" i="5"/>
  <c r="H367" i="5"/>
  <c r="F367" i="5"/>
  <c r="V367" i="5"/>
  <c r="T367" i="5"/>
  <c r="R367" i="5"/>
  <c r="U367" i="5"/>
  <c r="S367" i="5"/>
  <c r="Q367" i="5"/>
  <c r="E367" i="5"/>
  <c r="D367" i="5"/>
  <c r="B367" i="5"/>
  <c r="A367" i="5"/>
  <c r="J366" i="5"/>
  <c r="I366" i="5"/>
  <c r="H366" i="5"/>
  <c r="F366" i="5"/>
  <c r="V366" i="5"/>
  <c r="T366" i="5"/>
  <c r="R366" i="5"/>
  <c r="U366" i="5"/>
  <c r="S366" i="5"/>
  <c r="Q366" i="5"/>
  <c r="E366" i="5"/>
  <c r="D366" i="5"/>
  <c r="B366" i="5"/>
  <c r="A366" i="5"/>
  <c r="J365" i="5"/>
  <c r="I365" i="5"/>
  <c r="H365" i="5"/>
  <c r="F365" i="5"/>
  <c r="V365" i="5"/>
  <c r="T365" i="5"/>
  <c r="R365" i="5"/>
  <c r="U365" i="5"/>
  <c r="S365" i="5"/>
  <c r="Q365" i="5"/>
  <c r="E365" i="5"/>
  <c r="D365" i="5"/>
  <c r="B365" i="5"/>
  <c r="A365" i="5"/>
  <c r="J364" i="5"/>
  <c r="I364" i="5"/>
  <c r="H364" i="5"/>
  <c r="F364" i="5"/>
  <c r="V364" i="5"/>
  <c r="T364" i="5"/>
  <c r="R364" i="5"/>
  <c r="U364" i="5"/>
  <c r="S364" i="5"/>
  <c r="Q364" i="5"/>
  <c r="E364" i="5"/>
  <c r="D364" i="5"/>
  <c r="B364" i="5"/>
  <c r="A364" i="5"/>
  <c r="J363" i="5"/>
  <c r="I363" i="5"/>
  <c r="H363" i="5"/>
  <c r="F363" i="5"/>
  <c r="V363" i="5"/>
  <c r="T363" i="5"/>
  <c r="R363" i="5"/>
  <c r="U363" i="5"/>
  <c r="S363" i="5"/>
  <c r="Q363" i="5"/>
  <c r="E363" i="5"/>
  <c r="D363" i="5"/>
  <c r="B363" i="5"/>
  <c r="A363" i="5"/>
  <c r="J362" i="5"/>
  <c r="I362" i="5"/>
  <c r="H362" i="5"/>
  <c r="F362" i="5"/>
  <c r="V362" i="5"/>
  <c r="T362" i="5"/>
  <c r="R362" i="5"/>
  <c r="U362" i="5"/>
  <c r="S362" i="5"/>
  <c r="Q362" i="5"/>
  <c r="E362" i="5"/>
  <c r="D362" i="5"/>
  <c r="B362" i="5"/>
  <c r="A362" i="5"/>
  <c r="J361" i="5"/>
  <c r="I361" i="5"/>
  <c r="H361" i="5"/>
  <c r="F361" i="5"/>
  <c r="V361" i="5"/>
  <c r="T361" i="5"/>
  <c r="R361" i="5"/>
  <c r="U361" i="5"/>
  <c r="S361" i="5"/>
  <c r="Q361" i="5"/>
  <c r="E361" i="5"/>
  <c r="D361" i="5"/>
  <c r="B361" i="5"/>
  <c r="A361" i="5"/>
  <c r="J360" i="5"/>
  <c r="I360" i="5"/>
  <c r="H360" i="5"/>
  <c r="F360" i="5"/>
  <c r="V360" i="5"/>
  <c r="T360" i="5"/>
  <c r="R360" i="5"/>
  <c r="U360" i="5"/>
  <c r="S360" i="5"/>
  <c r="Q360" i="5"/>
  <c r="E360" i="5"/>
  <c r="D360" i="5"/>
  <c r="B360" i="5"/>
  <c r="A360" i="5"/>
  <c r="J359" i="5"/>
  <c r="I359" i="5"/>
  <c r="H359" i="5"/>
  <c r="F359" i="5"/>
  <c r="V359" i="5"/>
  <c r="T359" i="5"/>
  <c r="R359" i="5"/>
  <c r="U359" i="5"/>
  <c r="S359" i="5"/>
  <c r="Q359" i="5"/>
  <c r="E359" i="5"/>
  <c r="D359" i="5"/>
  <c r="B359" i="5"/>
  <c r="A359" i="5"/>
  <c r="J358" i="5"/>
  <c r="I358" i="5"/>
  <c r="H358" i="5"/>
  <c r="F358" i="5"/>
  <c r="V358" i="5"/>
  <c r="T358" i="5"/>
  <c r="R358" i="5"/>
  <c r="U358" i="5"/>
  <c r="S358" i="5"/>
  <c r="Q358" i="5"/>
  <c r="E358" i="5"/>
  <c r="D358" i="5"/>
  <c r="B358" i="5"/>
  <c r="A358" i="5"/>
  <c r="J357" i="5"/>
  <c r="I357" i="5"/>
  <c r="H357" i="5"/>
  <c r="F357" i="5"/>
  <c r="V357" i="5"/>
  <c r="T357" i="5"/>
  <c r="R357" i="5"/>
  <c r="U357" i="5"/>
  <c r="S357" i="5"/>
  <c r="Q357" i="5"/>
  <c r="E357" i="5"/>
  <c r="D357" i="5"/>
  <c r="B357" i="5"/>
  <c r="A357" i="5"/>
  <c r="J356" i="5"/>
  <c r="I356" i="5"/>
  <c r="H356" i="5"/>
  <c r="F356" i="5"/>
  <c r="V356" i="5"/>
  <c r="T356" i="5"/>
  <c r="R356" i="5"/>
  <c r="U356" i="5"/>
  <c r="S356" i="5"/>
  <c r="Q356" i="5"/>
  <c r="E356" i="5"/>
  <c r="D356" i="5"/>
  <c r="B356" i="5"/>
  <c r="A356" i="5"/>
  <c r="J355" i="5"/>
  <c r="I355" i="5"/>
  <c r="H355" i="5"/>
  <c r="F355" i="5"/>
  <c r="V355" i="5"/>
  <c r="T355" i="5"/>
  <c r="R355" i="5"/>
  <c r="U355" i="5"/>
  <c r="S355" i="5"/>
  <c r="Q355" i="5"/>
  <c r="E355" i="5"/>
  <c r="D355" i="5"/>
  <c r="B355" i="5"/>
  <c r="A355" i="5"/>
  <c r="J354" i="5"/>
  <c r="I354" i="5"/>
  <c r="H354" i="5"/>
  <c r="F354" i="5"/>
  <c r="V354" i="5"/>
  <c r="T354" i="5"/>
  <c r="R354" i="5"/>
  <c r="U354" i="5"/>
  <c r="S354" i="5"/>
  <c r="Q354" i="5"/>
  <c r="E354" i="5"/>
  <c r="D354" i="5"/>
  <c r="B354" i="5"/>
  <c r="A354" i="5"/>
  <c r="J353" i="5"/>
  <c r="I353" i="5"/>
  <c r="H353" i="5"/>
  <c r="F353" i="5"/>
  <c r="V353" i="5"/>
  <c r="T353" i="5"/>
  <c r="R353" i="5"/>
  <c r="U353" i="5"/>
  <c r="S353" i="5"/>
  <c r="Q353" i="5"/>
  <c r="E353" i="5"/>
  <c r="D353" i="5"/>
  <c r="B353" i="5"/>
  <c r="A353" i="5"/>
  <c r="J352" i="5"/>
  <c r="I377" i="5" s="1"/>
  <c r="I352" i="5"/>
  <c r="H352" i="5"/>
  <c r="G352" i="5"/>
  <c r="F352" i="5"/>
  <c r="J351" i="5"/>
  <c r="I351" i="5"/>
  <c r="H351" i="5"/>
  <c r="G351" i="5"/>
  <c r="F351" i="5"/>
  <c r="J350" i="5"/>
  <c r="I350" i="5"/>
  <c r="H350" i="5"/>
  <c r="G350" i="5"/>
  <c r="F350" i="5"/>
  <c r="J349" i="5"/>
  <c r="I349" i="5"/>
  <c r="H349" i="5"/>
  <c r="G349" i="5"/>
  <c r="F349" i="5"/>
  <c r="V348" i="5"/>
  <c r="J375" i="5" s="1"/>
  <c r="T348" i="5"/>
  <c r="J374" i="5" s="1"/>
  <c r="R348" i="5"/>
  <c r="J373" i="5" s="1"/>
  <c r="U348" i="5"/>
  <c r="S348" i="5"/>
  <c r="Q348" i="5"/>
  <c r="E348" i="5"/>
  <c r="D348" i="5"/>
  <c r="C348" i="5"/>
  <c r="B348" i="5"/>
  <c r="A348" i="5"/>
  <c r="K346" i="5"/>
  <c r="H346" i="5"/>
  <c r="G346" i="5"/>
  <c r="E346" i="5"/>
  <c r="E345" i="5"/>
  <c r="J344" i="5"/>
  <c r="E344" i="5"/>
  <c r="E343" i="5"/>
  <c r="J342" i="5"/>
  <c r="I347" i="5" s="1"/>
  <c r="I342" i="5"/>
  <c r="H342" i="5"/>
  <c r="G342" i="5"/>
  <c r="F342" i="5"/>
  <c r="J341" i="5"/>
  <c r="I341" i="5"/>
  <c r="H341" i="5"/>
  <c r="G341" i="5"/>
  <c r="F341" i="5"/>
  <c r="J340" i="5"/>
  <c r="I340" i="5"/>
  <c r="H340" i="5"/>
  <c r="G340" i="5"/>
  <c r="F340" i="5"/>
  <c r="J339" i="5"/>
  <c r="I339" i="5"/>
  <c r="H339" i="5"/>
  <c r="G339" i="5"/>
  <c r="F339" i="5"/>
  <c r="C338" i="5"/>
  <c r="V337" i="5"/>
  <c r="J345" i="5" s="1"/>
  <c r="T337" i="5"/>
  <c r="R337" i="5"/>
  <c r="J343" i="5" s="1"/>
  <c r="U337" i="5"/>
  <c r="S337" i="5"/>
  <c r="Q337" i="5"/>
  <c r="E337" i="5"/>
  <c r="D337" i="5"/>
  <c r="C337" i="5"/>
  <c r="B337" i="5"/>
  <c r="A337" i="5"/>
  <c r="K335" i="5"/>
  <c r="H335" i="5"/>
  <c r="G335" i="5"/>
  <c r="E335" i="5"/>
  <c r="E334" i="5"/>
  <c r="J333" i="5"/>
  <c r="E333" i="5"/>
  <c r="E332" i="5"/>
  <c r="J331" i="5"/>
  <c r="I331" i="5"/>
  <c r="H331" i="5"/>
  <c r="G331" i="5"/>
  <c r="F331" i="5"/>
  <c r="J330" i="5"/>
  <c r="I330" i="5"/>
  <c r="H330" i="5"/>
  <c r="G330" i="5"/>
  <c r="F330" i="5"/>
  <c r="J329" i="5"/>
  <c r="I329" i="5"/>
  <c r="H329" i="5"/>
  <c r="G329" i="5"/>
  <c r="F329" i="5"/>
  <c r="J328" i="5"/>
  <c r="I328" i="5"/>
  <c r="H328" i="5"/>
  <c r="G328" i="5"/>
  <c r="F328" i="5"/>
  <c r="C327" i="5"/>
  <c r="V326" i="5"/>
  <c r="J334" i="5" s="1"/>
  <c r="T326" i="5"/>
  <c r="R326" i="5"/>
  <c r="J332" i="5" s="1"/>
  <c r="U326" i="5"/>
  <c r="S326" i="5"/>
  <c r="Q326" i="5"/>
  <c r="E326" i="5"/>
  <c r="D326" i="5"/>
  <c r="C326" i="5"/>
  <c r="B326" i="5"/>
  <c r="A326" i="5"/>
  <c r="K324" i="5"/>
  <c r="H324" i="5"/>
  <c r="G324" i="5"/>
  <c r="E324" i="5"/>
  <c r="J323" i="5"/>
  <c r="E323" i="5"/>
  <c r="E322" i="5"/>
  <c r="E321" i="5"/>
  <c r="J320" i="5"/>
  <c r="I320" i="5"/>
  <c r="H320" i="5"/>
  <c r="G320" i="5"/>
  <c r="F320" i="5"/>
  <c r="J319" i="5"/>
  <c r="I319" i="5"/>
  <c r="H319" i="5"/>
  <c r="G319" i="5"/>
  <c r="F319" i="5"/>
  <c r="J318" i="5"/>
  <c r="I318" i="5"/>
  <c r="H318" i="5"/>
  <c r="G318" i="5"/>
  <c r="F318" i="5"/>
  <c r="J317" i="5"/>
  <c r="I317" i="5"/>
  <c r="H317" i="5"/>
  <c r="G317" i="5"/>
  <c r="F317" i="5"/>
  <c r="C316" i="5"/>
  <c r="V315" i="5"/>
  <c r="T315" i="5"/>
  <c r="J322" i="5" s="1"/>
  <c r="R315" i="5"/>
  <c r="J321" i="5" s="1"/>
  <c r="U315" i="5"/>
  <c r="S315" i="5"/>
  <c r="Q315" i="5"/>
  <c r="E315" i="5"/>
  <c r="D315" i="5"/>
  <c r="C315" i="5"/>
  <c r="B315" i="5"/>
  <c r="A315" i="5"/>
  <c r="K313" i="5"/>
  <c r="H313" i="5"/>
  <c r="G313" i="5"/>
  <c r="E313" i="5"/>
  <c r="J312" i="5"/>
  <c r="E312" i="5"/>
  <c r="E311" i="5"/>
  <c r="E310" i="5"/>
  <c r="J309" i="5"/>
  <c r="I309" i="5"/>
  <c r="H309" i="5"/>
  <c r="G309" i="5"/>
  <c r="F309" i="5"/>
  <c r="J308" i="5"/>
  <c r="I308" i="5"/>
  <c r="H308" i="5"/>
  <c r="G308" i="5"/>
  <c r="F308" i="5"/>
  <c r="J307" i="5"/>
  <c r="I307" i="5"/>
  <c r="H307" i="5"/>
  <c r="G307" i="5"/>
  <c r="F307" i="5"/>
  <c r="J306" i="5"/>
  <c r="I306" i="5"/>
  <c r="H306" i="5"/>
  <c r="G306" i="5"/>
  <c r="F306" i="5"/>
  <c r="V305" i="5"/>
  <c r="T305" i="5"/>
  <c r="J311" i="5" s="1"/>
  <c r="R305" i="5"/>
  <c r="J310" i="5" s="1"/>
  <c r="U305" i="5"/>
  <c r="S305" i="5"/>
  <c r="Q305" i="5"/>
  <c r="E305" i="5"/>
  <c r="D305" i="5"/>
  <c r="C305" i="5"/>
  <c r="B305" i="5"/>
  <c r="A305" i="5"/>
  <c r="K303" i="5"/>
  <c r="H303" i="5"/>
  <c r="G303" i="5"/>
  <c r="E303" i="5"/>
  <c r="J302" i="5"/>
  <c r="E302" i="5"/>
  <c r="E301" i="5"/>
  <c r="J300" i="5"/>
  <c r="I300" i="5"/>
  <c r="H300" i="5"/>
  <c r="F300" i="5"/>
  <c r="V300" i="5"/>
  <c r="T300" i="5"/>
  <c r="R300" i="5"/>
  <c r="U300" i="5"/>
  <c r="S300" i="5"/>
  <c r="Q300" i="5"/>
  <c r="E300" i="5"/>
  <c r="D300" i="5"/>
  <c r="C300" i="5"/>
  <c r="B300" i="5"/>
  <c r="A300" i="5"/>
  <c r="J299" i="5"/>
  <c r="I299" i="5"/>
  <c r="H299" i="5"/>
  <c r="G299" i="5"/>
  <c r="F299" i="5"/>
  <c r="J298" i="5"/>
  <c r="I304" i="5" s="1"/>
  <c r="I298" i="5"/>
  <c r="H298" i="5"/>
  <c r="G298" i="5"/>
  <c r="F298" i="5"/>
  <c r="V297" i="5"/>
  <c r="T297" i="5"/>
  <c r="R297" i="5"/>
  <c r="J301" i="5" s="1"/>
  <c r="U297" i="5"/>
  <c r="S297" i="5"/>
  <c r="Q297" i="5"/>
  <c r="E297" i="5"/>
  <c r="D297" i="5"/>
  <c r="C297" i="5"/>
  <c r="B297" i="5"/>
  <c r="A297" i="5"/>
  <c r="K295" i="5"/>
  <c r="H295" i="5"/>
  <c r="G295" i="5"/>
  <c r="E295" i="5"/>
  <c r="J294" i="5"/>
  <c r="E294" i="5"/>
  <c r="E293" i="5"/>
  <c r="E292" i="5"/>
  <c r="J291" i="5"/>
  <c r="I291" i="5"/>
  <c r="H291" i="5"/>
  <c r="G291" i="5"/>
  <c r="F291" i="5"/>
  <c r="J290" i="5"/>
  <c r="I290" i="5"/>
  <c r="H290" i="5"/>
  <c r="G290" i="5"/>
  <c r="F290" i="5"/>
  <c r="J289" i="5"/>
  <c r="I289" i="5"/>
  <c r="H289" i="5"/>
  <c r="G289" i="5"/>
  <c r="F289" i="5"/>
  <c r="J288" i="5"/>
  <c r="I288" i="5"/>
  <c r="H288" i="5"/>
  <c r="G288" i="5"/>
  <c r="F288" i="5"/>
  <c r="V287" i="5"/>
  <c r="T287" i="5"/>
  <c r="J293" i="5" s="1"/>
  <c r="R287" i="5"/>
  <c r="J292" i="5" s="1"/>
  <c r="U287" i="5"/>
  <c r="S287" i="5"/>
  <c r="Q287" i="5"/>
  <c r="E287" i="5"/>
  <c r="D287" i="5"/>
  <c r="C287" i="5"/>
  <c r="B287" i="5"/>
  <c r="A287" i="5"/>
  <c r="K285" i="5"/>
  <c r="H285" i="5"/>
  <c r="G285" i="5"/>
  <c r="E285" i="5"/>
  <c r="J284" i="5"/>
  <c r="E284" i="5"/>
  <c r="E283" i="5"/>
  <c r="E282" i="5"/>
  <c r="J281" i="5"/>
  <c r="I281" i="5"/>
  <c r="H281" i="5"/>
  <c r="G281" i="5"/>
  <c r="F281" i="5"/>
  <c r="J280" i="5"/>
  <c r="I280" i="5"/>
  <c r="H280" i="5"/>
  <c r="G280" i="5"/>
  <c r="F280" i="5"/>
  <c r="J279" i="5"/>
  <c r="I279" i="5"/>
  <c r="H279" i="5"/>
  <c r="G279" i="5"/>
  <c r="F279" i="5"/>
  <c r="C278" i="5"/>
  <c r="V277" i="5"/>
  <c r="T277" i="5"/>
  <c r="J283" i="5" s="1"/>
  <c r="R277" i="5"/>
  <c r="J282" i="5" s="1"/>
  <c r="U277" i="5"/>
  <c r="S277" i="5"/>
  <c r="Q277" i="5"/>
  <c r="E277" i="5"/>
  <c r="D277" i="5"/>
  <c r="C277" i="5"/>
  <c r="B277" i="5"/>
  <c r="A277" i="5"/>
  <c r="K275" i="5"/>
  <c r="H275" i="5"/>
  <c r="G275" i="5"/>
  <c r="E275" i="5"/>
  <c r="J274" i="5"/>
  <c r="E274" i="5"/>
  <c r="E273" i="5"/>
  <c r="J272" i="5"/>
  <c r="I272" i="5"/>
  <c r="H272" i="5"/>
  <c r="G272" i="5"/>
  <c r="F272" i="5"/>
  <c r="C271" i="5"/>
  <c r="V270" i="5"/>
  <c r="T270" i="5"/>
  <c r="R270" i="5"/>
  <c r="J273" i="5" s="1"/>
  <c r="U270" i="5"/>
  <c r="S270" i="5"/>
  <c r="Q270" i="5"/>
  <c r="E270" i="5"/>
  <c r="D270" i="5"/>
  <c r="C270" i="5"/>
  <c r="B270" i="5"/>
  <c r="A270" i="5"/>
  <c r="A269" i="5"/>
  <c r="A266" i="5"/>
  <c r="C264" i="5"/>
  <c r="K262" i="5"/>
  <c r="H262" i="5"/>
  <c r="G262" i="5"/>
  <c r="E262" i="5"/>
  <c r="E261" i="5"/>
  <c r="E260" i="5"/>
  <c r="J259" i="5"/>
  <c r="E259" i="5"/>
  <c r="J258" i="5"/>
  <c r="I258" i="5"/>
  <c r="H258" i="5"/>
  <c r="G258" i="5"/>
  <c r="F258" i="5"/>
  <c r="J257" i="5"/>
  <c r="I257" i="5"/>
  <c r="H257" i="5"/>
  <c r="G257" i="5"/>
  <c r="F257" i="5"/>
  <c r="J256" i="5"/>
  <c r="I256" i="5"/>
  <c r="H256" i="5"/>
  <c r="G256" i="5"/>
  <c r="F256" i="5"/>
  <c r="V255" i="5"/>
  <c r="J261" i="5" s="1"/>
  <c r="T255" i="5"/>
  <c r="J260" i="5" s="1"/>
  <c r="R255" i="5"/>
  <c r="U255" i="5"/>
  <c r="S255" i="5"/>
  <c r="Q255" i="5"/>
  <c r="E255" i="5"/>
  <c r="D255" i="5"/>
  <c r="A255" i="5"/>
  <c r="A254" i="5"/>
  <c r="A252" i="5"/>
  <c r="A249" i="5"/>
  <c r="A246" i="5"/>
  <c r="K243" i="5"/>
  <c r="H243" i="5"/>
  <c r="G243" i="5"/>
  <c r="E243" i="5"/>
  <c r="E242" i="5"/>
  <c r="J241" i="5"/>
  <c r="E241" i="5"/>
  <c r="E240" i="5"/>
  <c r="J239" i="5"/>
  <c r="I239" i="5"/>
  <c r="H239" i="5"/>
  <c r="G239" i="5"/>
  <c r="F239" i="5"/>
  <c r="J238" i="5"/>
  <c r="I238" i="5"/>
  <c r="H238" i="5"/>
  <c r="G238" i="5"/>
  <c r="F238" i="5"/>
  <c r="J237" i="5"/>
  <c r="I237" i="5"/>
  <c r="H237" i="5"/>
  <c r="G237" i="5"/>
  <c r="F237" i="5"/>
  <c r="J236" i="5"/>
  <c r="I236" i="5"/>
  <c r="H236" i="5"/>
  <c r="G236" i="5"/>
  <c r="F236" i="5"/>
  <c r="C235" i="5"/>
  <c r="V234" i="5"/>
  <c r="J242" i="5" s="1"/>
  <c r="T234" i="5"/>
  <c r="R234" i="5"/>
  <c r="J240" i="5" s="1"/>
  <c r="U234" i="5"/>
  <c r="S234" i="5"/>
  <c r="Q234" i="5"/>
  <c r="E234" i="5"/>
  <c r="D234" i="5"/>
  <c r="C234" i="5"/>
  <c r="B234" i="5"/>
  <c r="A234" i="5"/>
  <c r="K232" i="5"/>
  <c r="H232" i="5"/>
  <c r="G232" i="5"/>
  <c r="E232" i="5"/>
  <c r="J231" i="5"/>
  <c r="E231" i="5"/>
  <c r="E230" i="5"/>
  <c r="E229" i="5"/>
  <c r="J228" i="5"/>
  <c r="I228" i="5"/>
  <c r="H228" i="5"/>
  <c r="G228" i="5"/>
  <c r="F228" i="5"/>
  <c r="J227" i="5"/>
  <c r="I227" i="5"/>
  <c r="H227" i="5"/>
  <c r="G227" i="5"/>
  <c r="F227" i="5"/>
  <c r="J226" i="5"/>
  <c r="I226" i="5"/>
  <c r="H226" i="5"/>
  <c r="G226" i="5"/>
  <c r="F226" i="5"/>
  <c r="J225" i="5"/>
  <c r="I225" i="5"/>
  <c r="H225" i="5"/>
  <c r="G225" i="5"/>
  <c r="F225" i="5"/>
  <c r="C224" i="5"/>
  <c r="V223" i="5"/>
  <c r="T223" i="5"/>
  <c r="J230" i="5" s="1"/>
  <c r="R223" i="5"/>
  <c r="J229" i="5" s="1"/>
  <c r="U223" i="5"/>
  <c r="S223" i="5"/>
  <c r="Q223" i="5"/>
  <c r="E223" i="5"/>
  <c r="D223" i="5"/>
  <c r="C223" i="5"/>
  <c r="B223" i="5"/>
  <c r="A223" i="5"/>
  <c r="K221" i="5"/>
  <c r="H221" i="5"/>
  <c r="G221" i="5"/>
  <c r="E221" i="5"/>
  <c r="J220" i="5"/>
  <c r="E220" i="5"/>
  <c r="E219" i="5"/>
  <c r="J218" i="5"/>
  <c r="I222" i="5" s="1"/>
  <c r="I218" i="5"/>
  <c r="H218" i="5"/>
  <c r="G218" i="5"/>
  <c r="F218" i="5"/>
  <c r="J217" i="5"/>
  <c r="I217" i="5"/>
  <c r="H217" i="5"/>
  <c r="G217" i="5"/>
  <c r="F217" i="5"/>
  <c r="C216" i="5"/>
  <c r="V215" i="5"/>
  <c r="T215" i="5"/>
  <c r="R215" i="5"/>
  <c r="J219" i="5" s="1"/>
  <c r="U215" i="5"/>
  <c r="S215" i="5"/>
  <c r="Q215" i="5"/>
  <c r="E215" i="5"/>
  <c r="D215" i="5"/>
  <c r="C215" i="5"/>
  <c r="B215" i="5"/>
  <c r="A215" i="5"/>
  <c r="K213" i="5"/>
  <c r="H213" i="5"/>
  <c r="G213" i="5"/>
  <c r="E213" i="5"/>
  <c r="E212" i="5"/>
  <c r="E211" i="5"/>
  <c r="E210" i="5"/>
  <c r="J209" i="5"/>
  <c r="I209" i="5"/>
  <c r="H209" i="5"/>
  <c r="G209" i="5"/>
  <c r="F209" i="5"/>
  <c r="J208" i="5"/>
  <c r="I208" i="5"/>
  <c r="H208" i="5"/>
  <c r="G208" i="5"/>
  <c r="F208" i="5"/>
  <c r="J207" i="5"/>
  <c r="I207" i="5"/>
  <c r="H207" i="5"/>
  <c r="G207" i="5"/>
  <c r="F207" i="5"/>
  <c r="J206" i="5"/>
  <c r="I206" i="5"/>
  <c r="H206" i="5"/>
  <c r="G206" i="5"/>
  <c r="F206" i="5"/>
  <c r="V205" i="5"/>
  <c r="J212" i="5" s="1"/>
  <c r="T205" i="5"/>
  <c r="J211" i="5" s="1"/>
  <c r="I214" i="5" s="1"/>
  <c r="R205" i="5"/>
  <c r="J210" i="5" s="1"/>
  <c r="U205" i="5"/>
  <c r="S205" i="5"/>
  <c r="Q205" i="5"/>
  <c r="E205" i="5"/>
  <c r="D205" i="5"/>
  <c r="C205" i="5"/>
  <c r="B205" i="5"/>
  <c r="A205" i="5"/>
  <c r="K203" i="5"/>
  <c r="H203" i="5"/>
  <c r="G203" i="5"/>
  <c r="E203" i="5"/>
  <c r="E202" i="5"/>
  <c r="E201" i="5"/>
  <c r="E200" i="5"/>
  <c r="J199" i="5"/>
  <c r="I204" i="5" s="1"/>
  <c r="I199" i="5"/>
  <c r="H199" i="5"/>
  <c r="G199" i="5"/>
  <c r="F199" i="5"/>
  <c r="J198" i="5"/>
  <c r="I198" i="5"/>
  <c r="H198" i="5"/>
  <c r="G198" i="5"/>
  <c r="F198" i="5"/>
  <c r="J197" i="5"/>
  <c r="I197" i="5"/>
  <c r="H197" i="5"/>
  <c r="G197" i="5"/>
  <c r="F197" i="5"/>
  <c r="J196" i="5"/>
  <c r="I196" i="5"/>
  <c r="H196" i="5"/>
  <c r="G196" i="5"/>
  <c r="F196" i="5"/>
  <c r="V195" i="5"/>
  <c r="J202" i="5" s="1"/>
  <c r="T195" i="5"/>
  <c r="J201" i="5" s="1"/>
  <c r="R195" i="5"/>
  <c r="J200" i="5" s="1"/>
  <c r="U195" i="5"/>
  <c r="S195" i="5"/>
  <c r="Q195" i="5"/>
  <c r="E195" i="5"/>
  <c r="D195" i="5"/>
  <c r="C195" i="5"/>
  <c r="B195" i="5"/>
  <c r="A195" i="5"/>
  <c r="K193" i="5"/>
  <c r="H193" i="5"/>
  <c r="G193" i="5"/>
  <c r="E193" i="5"/>
  <c r="E192" i="5"/>
  <c r="E191" i="5"/>
  <c r="E190" i="5"/>
  <c r="J189" i="5"/>
  <c r="I189" i="5"/>
  <c r="H189" i="5"/>
  <c r="F189" i="5"/>
  <c r="V189" i="5"/>
  <c r="T189" i="5"/>
  <c r="R189" i="5"/>
  <c r="J190" i="5" s="1"/>
  <c r="U189" i="5"/>
  <c r="S189" i="5"/>
  <c r="Q189" i="5"/>
  <c r="E189" i="5"/>
  <c r="D189" i="5"/>
  <c r="C189" i="5"/>
  <c r="B189" i="5"/>
  <c r="A189" i="5"/>
  <c r="J188" i="5"/>
  <c r="I188" i="5"/>
  <c r="H188" i="5"/>
  <c r="F188" i="5"/>
  <c r="V188" i="5"/>
  <c r="T188" i="5"/>
  <c r="R188" i="5"/>
  <c r="U188" i="5"/>
  <c r="S188" i="5"/>
  <c r="Q188" i="5"/>
  <c r="E188" i="5"/>
  <c r="D188" i="5"/>
  <c r="C188" i="5"/>
  <c r="B188" i="5"/>
  <c r="A188" i="5"/>
  <c r="J187" i="5"/>
  <c r="I187" i="5"/>
  <c r="H187" i="5"/>
  <c r="G187" i="5"/>
  <c r="F187" i="5"/>
  <c r="J186" i="5"/>
  <c r="I186" i="5"/>
  <c r="H186" i="5"/>
  <c r="G186" i="5"/>
  <c r="F186" i="5"/>
  <c r="J185" i="5"/>
  <c r="I185" i="5"/>
  <c r="H185" i="5"/>
  <c r="G185" i="5"/>
  <c r="F185" i="5"/>
  <c r="J184" i="5"/>
  <c r="I184" i="5"/>
  <c r="H184" i="5"/>
  <c r="G184" i="5"/>
  <c r="F184" i="5"/>
  <c r="V183" i="5"/>
  <c r="T183" i="5"/>
  <c r="J191" i="5" s="1"/>
  <c r="R183" i="5"/>
  <c r="U183" i="5"/>
  <c r="S183" i="5"/>
  <c r="Q183" i="5"/>
  <c r="E183" i="5"/>
  <c r="D183" i="5"/>
  <c r="C183" i="5"/>
  <c r="B183" i="5"/>
  <c r="A183" i="5"/>
  <c r="K181" i="5"/>
  <c r="H181" i="5"/>
  <c r="G181" i="5"/>
  <c r="E181" i="5"/>
  <c r="E180" i="5"/>
  <c r="J179" i="5"/>
  <c r="E179" i="5"/>
  <c r="J178" i="5"/>
  <c r="I178" i="5"/>
  <c r="H178" i="5"/>
  <c r="G178" i="5"/>
  <c r="F178" i="5"/>
  <c r="J177" i="5"/>
  <c r="I177" i="5"/>
  <c r="H177" i="5"/>
  <c r="G177" i="5"/>
  <c r="F177" i="5"/>
  <c r="C176" i="5"/>
  <c r="V175" i="5"/>
  <c r="T175" i="5"/>
  <c r="J180" i="5" s="1"/>
  <c r="I182" i="5" s="1"/>
  <c r="R175" i="5"/>
  <c r="U175" i="5"/>
  <c r="S175" i="5"/>
  <c r="Q175" i="5"/>
  <c r="E175" i="5"/>
  <c r="D175" i="5"/>
  <c r="C175" i="5"/>
  <c r="B175" i="5"/>
  <c r="A175" i="5"/>
  <c r="K173" i="5"/>
  <c r="H173" i="5"/>
  <c r="G173" i="5"/>
  <c r="E173" i="5"/>
  <c r="J172" i="5"/>
  <c r="E172" i="5"/>
  <c r="J171" i="5"/>
  <c r="E171" i="5"/>
  <c r="J170" i="5"/>
  <c r="I174" i="5" s="1"/>
  <c r="I170" i="5"/>
  <c r="H170" i="5"/>
  <c r="G170" i="5"/>
  <c r="F170" i="5"/>
  <c r="C169" i="5"/>
  <c r="V168" i="5"/>
  <c r="T168" i="5"/>
  <c r="R168" i="5"/>
  <c r="U168" i="5"/>
  <c r="S168" i="5"/>
  <c r="Q168" i="5"/>
  <c r="E168" i="5"/>
  <c r="D168" i="5"/>
  <c r="C168" i="5"/>
  <c r="B168" i="5"/>
  <c r="A168" i="5"/>
  <c r="K166" i="5"/>
  <c r="H166" i="5"/>
  <c r="G166" i="5"/>
  <c r="E166" i="5"/>
  <c r="J165" i="5"/>
  <c r="E165" i="5"/>
  <c r="J164" i="5"/>
  <c r="E164" i="5"/>
  <c r="E163" i="5"/>
  <c r="J162" i="5"/>
  <c r="I162" i="5"/>
  <c r="H162" i="5"/>
  <c r="G162" i="5"/>
  <c r="F162" i="5"/>
  <c r="J161" i="5"/>
  <c r="I161" i="5"/>
  <c r="H161" i="5"/>
  <c r="G161" i="5"/>
  <c r="F161" i="5"/>
  <c r="J160" i="5"/>
  <c r="I160" i="5"/>
  <c r="H160" i="5"/>
  <c r="G160" i="5"/>
  <c r="F160" i="5"/>
  <c r="J159" i="5"/>
  <c r="I159" i="5"/>
  <c r="H159" i="5"/>
  <c r="G159" i="5"/>
  <c r="F159" i="5"/>
  <c r="C158" i="5"/>
  <c r="V157" i="5"/>
  <c r="T157" i="5"/>
  <c r="R157" i="5"/>
  <c r="J163" i="5" s="1"/>
  <c r="U157" i="5"/>
  <c r="S157" i="5"/>
  <c r="Q157" i="5"/>
  <c r="E157" i="5"/>
  <c r="D157" i="5"/>
  <c r="C157" i="5"/>
  <c r="B157" i="5"/>
  <c r="A157" i="5"/>
  <c r="K155" i="5"/>
  <c r="H155" i="5"/>
  <c r="G155" i="5"/>
  <c r="E155" i="5"/>
  <c r="J154" i="5"/>
  <c r="E154" i="5"/>
  <c r="E153" i="5"/>
  <c r="E152" i="5"/>
  <c r="J151" i="5"/>
  <c r="I151" i="5"/>
  <c r="H151" i="5"/>
  <c r="G151" i="5"/>
  <c r="F151" i="5"/>
  <c r="J150" i="5"/>
  <c r="I150" i="5"/>
  <c r="H150" i="5"/>
  <c r="G150" i="5"/>
  <c r="F150" i="5"/>
  <c r="J149" i="5"/>
  <c r="I149" i="5"/>
  <c r="H149" i="5"/>
  <c r="G149" i="5"/>
  <c r="F149" i="5"/>
  <c r="J148" i="5"/>
  <c r="I148" i="5"/>
  <c r="H148" i="5"/>
  <c r="G148" i="5"/>
  <c r="F148" i="5"/>
  <c r="C147" i="5"/>
  <c r="V146" i="5"/>
  <c r="T146" i="5"/>
  <c r="J153" i="5" s="1"/>
  <c r="R146" i="5"/>
  <c r="J152" i="5" s="1"/>
  <c r="U146" i="5"/>
  <c r="S146" i="5"/>
  <c r="Q146" i="5"/>
  <c r="E146" i="5"/>
  <c r="D146" i="5"/>
  <c r="C146" i="5"/>
  <c r="B146" i="5"/>
  <c r="A146" i="5"/>
  <c r="K144" i="5"/>
  <c r="H144" i="5"/>
  <c r="G144" i="5"/>
  <c r="E144" i="5"/>
  <c r="J143" i="5"/>
  <c r="E143" i="5"/>
  <c r="E142" i="5"/>
  <c r="J141" i="5"/>
  <c r="E141" i="5"/>
  <c r="J140" i="5"/>
  <c r="I140" i="5"/>
  <c r="H140" i="5"/>
  <c r="G140" i="5"/>
  <c r="F140" i="5"/>
  <c r="J139" i="5"/>
  <c r="I139" i="5"/>
  <c r="H139" i="5"/>
  <c r="G139" i="5"/>
  <c r="F139" i="5"/>
  <c r="J138" i="5"/>
  <c r="I138" i="5"/>
  <c r="H138" i="5"/>
  <c r="G138" i="5"/>
  <c r="F138" i="5"/>
  <c r="J137" i="5"/>
  <c r="I137" i="5"/>
  <c r="H137" i="5"/>
  <c r="G137" i="5"/>
  <c r="F137" i="5"/>
  <c r="C136" i="5"/>
  <c r="V135" i="5"/>
  <c r="T135" i="5"/>
  <c r="J142" i="5" s="1"/>
  <c r="R135" i="5"/>
  <c r="U135" i="5"/>
  <c r="S135" i="5"/>
  <c r="Q135" i="5"/>
  <c r="E135" i="5"/>
  <c r="D135" i="5"/>
  <c r="C135" i="5"/>
  <c r="B135" i="5"/>
  <c r="A135" i="5"/>
  <c r="K133" i="5"/>
  <c r="H133" i="5"/>
  <c r="G133" i="5"/>
  <c r="E133" i="5"/>
  <c r="E132" i="5"/>
  <c r="E131" i="5"/>
  <c r="E130" i="5"/>
  <c r="J129" i="5"/>
  <c r="I129" i="5"/>
  <c r="H129" i="5"/>
  <c r="G129" i="5"/>
  <c r="F129" i="5"/>
  <c r="J128" i="5"/>
  <c r="I128" i="5"/>
  <c r="H128" i="5"/>
  <c r="G128" i="5"/>
  <c r="F128" i="5"/>
  <c r="J127" i="5"/>
  <c r="I127" i="5"/>
  <c r="H127" i="5"/>
  <c r="G127" i="5"/>
  <c r="F127" i="5"/>
  <c r="J126" i="5"/>
  <c r="I126" i="5"/>
  <c r="H126" i="5"/>
  <c r="G126" i="5"/>
  <c r="F126" i="5"/>
  <c r="V125" i="5"/>
  <c r="J132" i="5" s="1"/>
  <c r="T125" i="5"/>
  <c r="J131" i="5" s="1"/>
  <c r="R125" i="5"/>
  <c r="J130" i="5" s="1"/>
  <c r="I134" i="5" s="1"/>
  <c r="U125" i="5"/>
  <c r="S125" i="5"/>
  <c r="Q125" i="5"/>
  <c r="E125" i="5"/>
  <c r="D125" i="5"/>
  <c r="C125" i="5"/>
  <c r="B125" i="5"/>
  <c r="A125" i="5"/>
  <c r="K123" i="5"/>
  <c r="H123" i="5"/>
  <c r="G123" i="5"/>
  <c r="E123" i="5"/>
  <c r="E122" i="5"/>
  <c r="E121" i="5"/>
  <c r="J120" i="5"/>
  <c r="I120" i="5"/>
  <c r="H120" i="5"/>
  <c r="F120" i="5"/>
  <c r="V120" i="5"/>
  <c r="T120" i="5"/>
  <c r="R120" i="5"/>
  <c r="U120" i="5"/>
  <c r="S120" i="5"/>
  <c r="Q120" i="5"/>
  <c r="E120" i="5"/>
  <c r="D120" i="5"/>
  <c r="C120" i="5"/>
  <c r="B120" i="5"/>
  <c r="A120" i="5"/>
  <c r="J119" i="5"/>
  <c r="I119" i="5"/>
  <c r="H119" i="5"/>
  <c r="G119" i="5"/>
  <c r="F119" i="5"/>
  <c r="J118" i="5"/>
  <c r="I118" i="5"/>
  <c r="H118" i="5"/>
  <c r="G118" i="5"/>
  <c r="F118" i="5"/>
  <c r="V117" i="5"/>
  <c r="T117" i="5"/>
  <c r="J122" i="5" s="1"/>
  <c r="R117" i="5"/>
  <c r="J121" i="5" s="1"/>
  <c r="U117" i="5"/>
  <c r="S117" i="5"/>
  <c r="Q117" i="5"/>
  <c r="E117" i="5"/>
  <c r="D117" i="5"/>
  <c r="C117" i="5"/>
  <c r="B117" i="5"/>
  <c r="A117" i="5"/>
  <c r="K115" i="5"/>
  <c r="H115" i="5"/>
  <c r="G115" i="5"/>
  <c r="E115" i="5"/>
  <c r="J114" i="5"/>
  <c r="E114" i="5"/>
  <c r="E113" i="5"/>
  <c r="E112" i="5"/>
  <c r="J111" i="5"/>
  <c r="I111" i="5"/>
  <c r="H111" i="5"/>
  <c r="G111" i="5"/>
  <c r="F111" i="5"/>
  <c r="J110" i="5"/>
  <c r="I110" i="5"/>
  <c r="H110" i="5"/>
  <c r="G110" i="5"/>
  <c r="F110" i="5"/>
  <c r="J109" i="5"/>
  <c r="I109" i="5"/>
  <c r="H109" i="5"/>
  <c r="G109" i="5"/>
  <c r="F109" i="5"/>
  <c r="J108" i="5"/>
  <c r="I108" i="5"/>
  <c r="H108" i="5"/>
  <c r="G108" i="5"/>
  <c r="F108" i="5"/>
  <c r="V107" i="5"/>
  <c r="T107" i="5"/>
  <c r="J113" i="5" s="1"/>
  <c r="R107" i="5"/>
  <c r="J112" i="5" s="1"/>
  <c r="U107" i="5"/>
  <c r="S107" i="5"/>
  <c r="Q107" i="5"/>
  <c r="E107" i="5"/>
  <c r="D107" i="5"/>
  <c r="C107" i="5"/>
  <c r="B107" i="5"/>
  <c r="A107" i="5"/>
  <c r="K105" i="5"/>
  <c r="H105" i="5"/>
  <c r="G105" i="5"/>
  <c r="E105" i="5"/>
  <c r="J104" i="5"/>
  <c r="E104" i="5"/>
  <c r="E103" i="5"/>
  <c r="E102" i="5"/>
  <c r="J101" i="5"/>
  <c r="I101" i="5"/>
  <c r="H101" i="5"/>
  <c r="G101" i="5"/>
  <c r="F101" i="5"/>
  <c r="J100" i="5"/>
  <c r="I100" i="5"/>
  <c r="H100" i="5"/>
  <c r="G100" i="5"/>
  <c r="F100" i="5"/>
  <c r="J99" i="5"/>
  <c r="I99" i="5"/>
  <c r="H99" i="5"/>
  <c r="G99" i="5"/>
  <c r="F99" i="5"/>
  <c r="C98" i="5"/>
  <c r="V97" i="5"/>
  <c r="T97" i="5"/>
  <c r="J103" i="5" s="1"/>
  <c r="R97" i="5"/>
  <c r="J102" i="5" s="1"/>
  <c r="U97" i="5"/>
  <c r="S97" i="5"/>
  <c r="Q97" i="5"/>
  <c r="E97" i="5"/>
  <c r="D97" i="5"/>
  <c r="C97" i="5"/>
  <c r="B97" i="5"/>
  <c r="A97" i="5"/>
  <c r="K95" i="5"/>
  <c r="H95" i="5"/>
  <c r="G95" i="5"/>
  <c r="E95" i="5"/>
  <c r="J94" i="5"/>
  <c r="E94" i="5"/>
  <c r="E93" i="5"/>
  <c r="J92" i="5"/>
  <c r="I92" i="5"/>
  <c r="H92" i="5"/>
  <c r="G92" i="5"/>
  <c r="F92" i="5"/>
  <c r="C91" i="5"/>
  <c r="V90" i="5"/>
  <c r="T90" i="5"/>
  <c r="R90" i="5"/>
  <c r="J93" i="5" s="1"/>
  <c r="U90" i="5"/>
  <c r="S90" i="5"/>
  <c r="Q90" i="5"/>
  <c r="E90" i="5"/>
  <c r="D90" i="5"/>
  <c r="C90" i="5"/>
  <c r="B90" i="5"/>
  <c r="A90" i="5"/>
  <c r="A89" i="5"/>
  <c r="A86" i="5"/>
  <c r="K83" i="5"/>
  <c r="H83" i="5"/>
  <c r="G83" i="5"/>
  <c r="E83" i="5"/>
  <c r="J82" i="5"/>
  <c r="E82" i="5"/>
  <c r="E81" i="5"/>
  <c r="J80" i="5"/>
  <c r="I80" i="5"/>
  <c r="H80" i="5"/>
  <c r="G80" i="5"/>
  <c r="F80" i="5"/>
  <c r="C79" i="5"/>
  <c r="V78" i="5"/>
  <c r="T78" i="5"/>
  <c r="R78" i="5"/>
  <c r="J81" i="5" s="1"/>
  <c r="U78" i="5"/>
  <c r="S78" i="5"/>
  <c r="Q78" i="5"/>
  <c r="E78" i="5"/>
  <c r="D78" i="5"/>
  <c r="C78" i="5"/>
  <c r="B78" i="5"/>
  <c r="A78" i="5"/>
  <c r="K76" i="5"/>
  <c r="H76" i="5"/>
  <c r="G76" i="5"/>
  <c r="E76" i="5"/>
  <c r="J75" i="5"/>
  <c r="E75" i="5"/>
  <c r="E74" i="5"/>
  <c r="J73" i="5"/>
  <c r="I73" i="5"/>
  <c r="H73" i="5"/>
  <c r="G73" i="5"/>
  <c r="F73" i="5"/>
  <c r="C72" i="5"/>
  <c r="V71" i="5"/>
  <c r="T71" i="5"/>
  <c r="R71" i="5"/>
  <c r="J74" i="5" s="1"/>
  <c r="U71" i="5"/>
  <c r="S71" i="5"/>
  <c r="Q71" i="5"/>
  <c r="E71" i="5"/>
  <c r="D71" i="5"/>
  <c r="C71" i="5"/>
  <c r="B71" i="5"/>
  <c r="A71" i="5"/>
  <c r="K69" i="5"/>
  <c r="H69" i="5"/>
  <c r="G69" i="5"/>
  <c r="E69" i="5"/>
  <c r="J68" i="5"/>
  <c r="E68" i="5"/>
  <c r="E67" i="5"/>
  <c r="J66" i="5"/>
  <c r="I66" i="5"/>
  <c r="H66" i="5"/>
  <c r="G66" i="5"/>
  <c r="F66" i="5"/>
  <c r="C65" i="5"/>
  <c r="V64" i="5"/>
  <c r="T64" i="5"/>
  <c r="R64" i="5"/>
  <c r="J67" i="5" s="1"/>
  <c r="U64" i="5"/>
  <c r="S64" i="5"/>
  <c r="Q64" i="5"/>
  <c r="E64" i="5"/>
  <c r="D64" i="5"/>
  <c r="C64" i="5"/>
  <c r="B64" i="5"/>
  <c r="A64" i="5"/>
  <c r="C63" i="5"/>
  <c r="K61" i="5"/>
  <c r="H61" i="5"/>
  <c r="G61" i="5"/>
  <c r="E61" i="5"/>
  <c r="J60" i="5"/>
  <c r="E60" i="5"/>
  <c r="E59" i="5"/>
  <c r="J58" i="5"/>
  <c r="E58" i="5"/>
  <c r="J57" i="5"/>
  <c r="I57" i="5"/>
  <c r="H57" i="5"/>
  <c r="G57" i="5"/>
  <c r="F57" i="5"/>
  <c r="J56" i="5"/>
  <c r="I56" i="5"/>
  <c r="H56" i="5"/>
  <c r="G56" i="5"/>
  <c r="F56" i="5"/>
  <c r="J55" i="5"/>
  <c r="I55" i="5"/>
  <c r="H55" i="5"/>
  <c r="G55" i="5"/>
  <c r="F55" i="5"/>
  <c r="V54" i="5"/>
  <c r="T54" i="5"/>
  <c r="J59" i="5" s="1"/>
  <c r="R54" i="5"/>
  <c r="U54" i="5"/>
  <c r="S54" i="5"/>
  <c r="Q54" i="5"/>
  <c r="E54" i="5"/>
  <c r="D54" i="5"/>
  <c r="C54" i="5"/>
  <c r="B54" i="5"/>
  <c r="A54" i="5"/>
  <c r="K52" i="5"/>
  <c r="H52" i="5"/>
  <c r="G52" i="5"/>
  <c r="E52" i="5"/>
  <c r="J51" i="5"/>
  <c r="E51" i="5"/>
  <c r="E50" i="5"/>
  <c r="J49" i="5"/>
  <c r="I49" i="5"/>
  <c r="H49" i="5"/>
  <c r="G49" i="5"/>
  <c r="F49" i="5"/>
  <c r="C48" i="5"/>
  <c r="V47" i="5"/>
  <c r="T47" i="5"/>
  <c r="R47" i="5"/>
  <c r="J50" i="5" s="1"/>
  <c r="U47" i="5"/>
  <c r="S47" i="5"/>
  <c r="Q47" i="5"/>
  <c r="E47" i="5"/>
  <c r="D47" i="5"/>
  <c r="C47" i="5"/>
  <c r="B47" i="5"/>
  <c r="A47" i="5"/>
  <c r="K45" i="5"/>
  <c r="H45" i="5"/>
  <c r="G45" i="5"/>
  <c r="E45" i="5"/>
  <c r="J44" i="5"/>
  <c r="E44" i="5"/>
  <c r="E43" i="5"/>
  <c r="E42" i="5"/>
  <c r="J41" i="5"/>
  <c r="I41" i="5"/>
  <c r="H41" i="5"/>
  <c r="G41" i="5"/>
  <c r="F41" i="5"/>
  <c r="J40" i="5"/>
  <c r="I40" i="5"/>
  <c r="H40" i="5"/>
  <c r="G40" i="5"/>
  <c r="F40" i="5"/>
  <c r="J39" i="5"/>
  <c r="I39" i="5"/>
  <c r="H39" i="5"/>
  <c r="G39" i="5"/>
  <c r="F39" i="5"/>
  <c r="C38" i="5"/>
  <c r="V37" i="5"/>
  <c r="T37" i="5"/>
  <c r="J43" i="5" s="1"/>
  <c r="R37" i="5"/>
  <c r="J42" i="5" s="1"/>
  <c r="U37" i="5"/>
  <c r="S37" i="5"/>
  <c r="Q37" i="5"/>
  <c r="E37" i="5"/>
  <c r="D37" i="5"/>
  <c r="A37" i="5"/>
  <c r="A36" i="5"/>
  <c r="A34" i="5"/>
  <c r="A32" i="5"/>
  <c r="A18" i="5"/>
  <c r="A15" i="5"/>
  <c r="A10" i="5"/>
  <c r="G6" i="5"/>
  <c r="B6" i="5"/>
  <c r="A1" i="5"/>
  <c r="O55" i="8" l="1"/>
  <c r="T78" i="8"/>
  <c r="R78" i="8"/>
  <c r="T134" i="8"/>
  <c r="T142" i="8"/>
  <c r="R11" i="8"/>
  <c r="M12" i="8"/>
  <c r="F13" i="7" s="1"/>
  <c r="R22" i="8"/>
  <c r="M24" i="8"/>
  <c r="F49" i="7" s="1"/>
  <c r="R31" i="8"/>
  <c r="M32" i="8"/>
  <c r="R35" i="8"/>
  <c r="M36" i="8"/>
  <c r="R39" i="8"/>
  <c r="M40" i="8"/>
  <c r="F64" i="7" s="1"/>
  <c r="R43" i="8"/>
  <c r="M44" i="8"/>
  <c r="F38" i="7" s="1"/>
  <c r="R47" i="8"/>
  <c r="M48" i="8"/>
  <c r="F58" i="7" s="1"/>
  <c r="R51" i="8"/>
  <c r="M52" i="8"/>
  <c r="F55" i="7" s="1"/>
  <c r="R57" i="8"/>
  <c r="M58" i="8"/>
  <c r="F66" i="7" s="1"/>
  <c r="R61" i="8"/>
  <c r="M62" i="8"/>
  <c r="F29" i="7" s="1"/>
  <c r="O64" i="8"/>
  <c r="O68" i="8"/>
  <c r="M74" i="8"/>
  <c r="F79" i="7" s="1"/>
  <c r="M78" i="8"/>
  <c r="F57" i="7" s="1"/>
  <c r="M82" i="8"/>
  <c r="F34" i="7" s="1"/>
  <c r="M86" i="8"/>
  <c r="F44" i="7" s="1"/>
  <c r="M90" i="8"/>
  <c r="F32" i="7" s="1"/>
  <c r="T98" i="8"/>
  <c r="R98" i="8"/>
  <c r="O108" i="8"/>
  <c r="M108" i="8"/>
  <c r="T111" i="8"/>
  <c r="R111" i="8"/>
  <c r="M114" i="8"/>
  <c r="O114" i="8"/>
  <c r="M118" i="8"/>
  <c r="F112" i="7" s="1"/>
  <c r="O118" i="8"/>
  <c r="M122" i="8"/>
  <c r="F108" i="7" s="1"/>
  <c r="O122" i="8"/>
  <c r="M126" i="8"/>
  <c r="F92" i="7" s="1"/>
  <c r="O126" i="8"/>
  <c r="M130" i="8"/>
  <c r="F95" i="7" s="1"/>
  <c r="O130" i="8"/>
  <c r="T136" i="8"/>
  <c r="R138" i="8"/>
  <c r="D131" i="7"/>
  <c r="O144" i="8"/>
  <c r="T144" i="8"/>
  <c r="R146" i="8"/>
  <c r="T160" i="8"/>
  <c r="R160" i="8"/>
  <c r="O166" i="8"/>
  <c r="M166" i="8"/>
  <c r="O177" i="8"/>
  <c r="M177" i="8"/>
  <c r="F172" i="7" s="1"/>
  <c r="T82" i="8"/>
  <c r="R82" i="8"/>
  <c r="T90" i="8"/>
  <c r="R90" i="8"/>
  <c r="T177" i="8"/>
  <c r="R177" i="8"/>
  <c r="O195" i="8"/>
  <c r="M195" i="8"/>
  <c r="M19" i="8"/>
  <c r="D21" i="7"/>
  <c r="T18" i="8"/>
  <c r="R19" i="8"/>
  <c r="M20" i="8"/>
  <c r="F21" i="7" s="1"/>
  <c r="R24" i="8"/>
  <c r="M25" i="8"/>
  <c r="F48" i="7" s="1"/>
  <c r="T27" i="8"/>
  <c r="O28" i="8"/>
  <c r="R28" i="8"/>
  <c r="M29" i="8"/>
  <c r="F74" i="7" s="1"/>
  <c r="R32" i="8"/>
  <c r="M33" i="8"/>
  <c r="F25" i="7" s="1"/>
  <c r="R36" i="8"/>
  <c r="M37" i="8"/>
  <c r="R40" i="8"/>
  <c r="M41" i="8"/>
  <c r="F60" i="7" s="1"/>
  <c r="R44" i="8"/>
  <c r="M45" i="8"/>
  <c r="R48" i="8"/>
  <c r="M49" i="8"/>
  <c r="F53" i="7" s="1"/>
  <c r="R52" i="8"/>
  <c r="M53" i="8"/>
  <c r="F22" i="7" s="1"/>
  <c r="M55" i="8"/>
  <c r="F43" i="7" s="1"/>
  <c r="R58" i="8"/>
  <c r="M59" i="8"/>
  <c r="R62" i="8"/>
  <c r="M63" i="8"/>
  <c r="T63" i="8"/>
  <c r="R65" i="8"/>
  <c r="M66" i="8"/>
  <c r="F78" i="7" s="1"/>
  <c r="M67" i="8"/>
  <c r="T67" i="8"/>
  <c r="R69" i="8"/>
  <c r="M70" i="8"/>
  <c r="F70" i="7" s="1"/>
  <c r="M71" i="8"/>
  <c r="F69" i="7" s="1"/>
  <c r="T71" i="8"/>
  <c r="R73" i="8"/>
  <c r="O75" i="8"/>
  <c r="M75" i="8"/>
  <c r="F63" i="7" s="1"/>
  <c r="R77" i="8"/>
  <c r="O79" i="8"/>
  <c r="M79" i="8"/>
  <c r="F56" i="7" s="1"/>
  <c r="R81" i="8"/>
  <c r="O83" i="8"/>
  <c r="M83" i="8"/>
  <c r="F30" i="7" s="1"/>
  <c r="R85" i="8"/>
  <c r="O87" i="8"/>
  <c r="M87" i="8"/>
  <c r="F42" i="7" s="1"/>
  <c r="R89" i="8"/>
  <c r="O134" i="8"/>
  <c r="D125" i="7"/>
  <c r="O138" i="8"/>
  <c r="T138" i="8"/>
  <c r="D133" i="7"/>
  <c r="O146" i="8"/>
  <c r="T146" i="8"/>
  <c r="T164" i="8"/>
  <c r="R164" i="8"/>
  <c r="O274" i="8"/>
  <c r="M274" i="8"/>
  <c r="T55" i="8"/>
  <c r="T74" i="8"/>
  <c r="R74" i="8"/>
  <c r="T86" i="8"/>
  <c r="R86" i="8"/>
  <c r="D129" i="7"/>
  <c r="O142" i="8"/>
  <c r="D137" i="7"/>
  <c r="O150" i="8"/>
  <c r="T150" i="8"/>
  <c r="M156" i="8"/>
  <c r="F142" i="7" s="1"/>
  <c r="O156" i="8"/>
  <c r="O162" i="8"/>
  <c r="M162" i="8"/>
  <c r="F152" i="7" s="1"/>
  <c r="O165" i="8"/>
  <c r="M165" i="8"/>
  <c r="R166" i="8"/>
  <c r="T166" i="8"/>
  <c r="O170" i="8"/>
  <c r="M170" i="8"/>
  <c r="F156" i="7" s="1"/>
  <c r="O187" i="8"/>
  <c r="M187" i="8"/>
  <c r="F167" i="7" s="1"/>
  <c r="T190" i="8"/>
  <c r="R190" i="8"/>
  <c r="D27" i="7"/>
  <c r="M9" i="8"/>
  <c r="F17" i="7" s="1"/>
  <c r="R12" i="8"/>
  <c r="M13" i="8"/>
  <c r="F16" i="7" s="1"/>
  <c r="M16" i="8"/>
  <c r="R66" i="8"/>
  <c r="R70" i="8"/>
  <c r="O99" i="8"/>
  <c r="M99" i="8"/>
  <c r="T102" i="8"/>
  <c r="R102" i="8"/>
  <c r="O104" i="8"/>
  <c r="M104" i="8"/>
  <c r="F104" i="7" s="1"/>
  <c r="T107" i="8"/>
  <c r="R107" i="8"/>
  <c r="O112" i="8"/>
  <c r="M112" i="8"/>
  <c r="T132" i="8"/>
  <c r="R134" i="8"/>
  <c r="O136" i="8"/>
  <c r="D127" i="7"/>
  <c r="O140" i="8"/>
  <c r="T140" i="8"/>
  <c r="R142" i="8"/>
  <c r="D135" i="7"/>
  <c r="O148" i="8"/>
  <c r="T148" i="8"/>
  <c r="R150" i="8"/>
  <c r="O161" i="8"/>
  <c r="M161" i="8"/>
  <c r="F157" i="7" s="1"/>
  <c r="R162" i="8"/>
  <c r="T162" i="8"/>
  <c r="T168" i="8"/>
  <c r="R168" i="8"/>
  <c r="T170" i="8"/>
  <c r="R170" i="8"/>
  <c r="E162" i="7"/>
  <c r="M172" i="8"/>
  <c r="F162" i="7" s="1"/>
  <c r="D93" i="7"/>
  <c r="E119" i="7"/>
  <c r="M132" i="8"/>
  <c r="F119" i="7" s="1"/>
  <c r="E121" i="7"/>
  <c r="M134" i="8"/>
  <c r="F121" i="7" s="1"/>
  <c r="E123" i="7"/>
  <c r="M136" i="8"/>
  <c r="F123" i="7" s="1"/>
  <c r="E125" i="7"/>
  <c r="M138" i="8"/>
  <c r="F125" i="7" s="1"/>
  <c r="E127" i="7"/>
  <c r="M140" i="8"/>
  <c r="F127" i="7" s="1"/>
  <c r="E129" i="7"/>
  <c r="M142" i="8"/>
  <c r="F129" i="7" s="1"/>
  <c r="E131" i="7"/>
  <c r="M144" i="8"/>
  <c r="F131" i="7" s="1"/>
  <c r="E133" i="7"/>
  <c r="M146" i="8"/>
  <c r="F133" i="7" s="1"/>
  <c r="E135" i="7"/>
  <c r="M148" i="8"/>
  <c r="F135" i="7" s="1"/>
  <c r="E137" i="7"/>
  <c r="M150" i="8"/>
  <c r="F137" i="7" s="1"/>
  <c r="O204" i="8"/>
  <c r="M204" i="8"/>
  <c r="T207" i="8"/>
  <c r="R207" i="8"/>
  <c r="O211" i="8"/>
  <c r="M211" i="8"/>
  <c r="F224" i="7" s="1"/>
  <c r="T214" i="8"/>
  <c r="R214" i="8"/>
  <c r="O219" i="8"/>
  <c r="M219" i="8"/>
  <c r="T222" i="8"/>
  <c r="R222" i="8"/>
  <c r="R225" i="8"/>
  <c r="M225" i="8"/>
  <c r="O229" i="8"/>
  <c r="M229" i="8"/>
  <c r="F205" i="7" s="1"/>
  <c r="T232" i="8"/>
  <c r="R232" i="8"/>
  <c r="O237" i="8"/>
  <c r="M237" i="8"/>
  <c r="F229" i="7" s="1"/>
  <c r="T240" i="8"/>
  <c r="R240" i="8"/>
  <c r="O245" i="8"/>
  <c r="M245" i="8"/>
  <c r="F213" i="7" s="1"/>
  <c r="T248" i="8"/>
  <c r="R248" i="8"/>
  <c r="O253" i="8"/>
  <c r="M253" i="8"/>
  <c r="T256" i="8"/>
  <c r="R256" i="8"/>
  <c r="D238" i="7"/>
  <c r="O271" i="8"/>
  <c r="M271" i="8"/>
  <c r="F238" i="7" s="1"/>
  <c r="E244" i="7" s="1"/>
  <c r="M91" i="8"/>
  <c r="F24" i="7" s="1"/>
  <c r="M96" i="8"/>
  <c r="D90" i="7"/>
  <c r="R99" i="8"/>
  <c r="M100" i="8"/>
  <c r="F90" i="7" s="1"/>
  <c r="R104" i="8"/>
  <c r="M105" i="8"/>
  <c r="F103" i="7" s="1"/>
  <c r="R108" i="8"/>
  <c r="M109" i="8"/>
  <c r="F115" i="7" s="1"/>
  <c r="R112" i="8"/>
  <c r="M113" i="8"/>
  <c r="F91" i="7" s="1"/>
  <c r="T113" i="8"/>
  <c r="R115" i="8"/>
  <c r="M116" i="8"/>
  <c r="M117" i="8"/>
  <c r="T117" i="8"/>
  <c r="R119" i="8"/>
  <c r="M120" i="8"/>
  <c r="F110" i="7" s="1"/>
  <c r="M121" i="8"/>
  <c r="F109" i="7" s="1"/>
  <c r="T121" i="8"/>
  <c r="R123" i="8"/>
  <c r="M124" i="8"/>
  <c r="F96" i="7" s="1"/>
  <c r="M125" i="8"/>
  <c r="F94" i="7" s="1"/>
  <c r="T125" i="8"/>
  <c r="R127" i="8"/>
  <c r="M128" i="8"/>
  <c r="F107" i="7" s="1"/>
  <c r="M129" i="8"/>
  <c r="F100" i="7" s="1"/>
  <c r="T129" i="8"/>
  <c r="R131" i="8"/>
  <c r="R133" i="8"/>
  <c r="R135" i="8"/>
  <c r="R137" i="8"/>
  <c r="R139" i="8"/>
  <c r="R141" i="8"/>
  <c r="R143" i="8"/>
  <c r="R145" i="8"/>
  <c r="R147" i="8"/>
  <c r="R149" i="8"/>
  <c r="R153" i="8"/>
  <c r="M154" i="8"/>
  <c r="F144" i="7" s="1"/>
  <c r="M155" i="8"/>
  <c r="F143" i="7" s="1"/>
  <c r="T155" i="8"/>
  <c r="R157" i="8"/>
  <c r="R161" i="8"/>
  <c r="R165" i="8"/>
  <c r="R169" i="8"/>
  <c r="O171" i="8"/>
  <c r="M171" i="8"/>
  <c r="F153" i="7" s="1"/>
  <c r="O172" i="8"/>
  <c r="R176" i="8"/>
  <c r="O178" i="8"/>
  <c r="M178" i="8"/>
  <c r="F169" i="7" s="1"/>
  <c r="T181" i="8"/>
  <c r="R181" i="8"/>
  <c r="O183" i="8"/>
  <c r="M183" i="8"/>
  <c r="F175" i="7" s="1"/>
  <c r="T186" i="8"/>
  <c r="R186" i="8"/>
  <c r="O191" i="8"/>
  <c r="M191" i="8"/>
  <c r="T194" i="8"/>
  <c r="R194" i="8"/>
  <c r="F191" i="7"/>
  <c r="F193" i="7"/>
  <c r="T279" i="8"/>
  <c r="R279" i="8"/>
  <c r="R116" i="8"/>
  <c r="R120" i="8"/>
  <c r="R124" i="8"/>
  <c r="R128" i="8"/>
  <c r="E118" i="7"/>
  <c r="M131" i="8"/>
  <c r="F118" i="7" s="1"/>
  <c r="E120" i="7"/>
  <c r="M133" i="8"/>
  <c r="F120" i="7" s="1"/>
  <c r="E122" i="7"/>
  <c r="M135" i="8"/>
  <c r="F122" i="7" s="1"/>
  <c r="E124" i="7"/>
  <c r="M137" i="8"/>
  <c r="F124" i="7" s="1"/>
  <c r="E126" i="7"/>
  <c r="M139" i="8"/>
  <c r="F126" i="7" s="1"/>
  <c r="E128" i="7"/>
  <c r="M141" i="8"/>
  <c r="F128" i="7" s="1"/>
  <c r="E130" i="7"/>
  <c r="M143" i="8"/>
  <c r="F130" i="7" s="1"/>
  <c r="E132" i="7"/>
  <c r="M145" i="8"/>
  <c r="F132" i="7" s="1"/>
  <c r="E134" i="7"/>
  <c r="M147" i="8"/>
  <c r="F134" i="7" s="1"/>
  <c r="E136" i="7"/>
  <c r="M149" i="8"/>
  <c r="F136" i="7" s="1"/>
  <c r="D160" i="7"/>
  <c r="F160" i="7"/>
  <c r="R172" i="8"/>
  <c r="T203" i="8"/>
  <c r="R203" i="8"/>
  <c r="O215" i="8"/>
  <c r="M215" i="8"/>
  <c r="F215" i="7" s="1"/>
  <c r="T218" i="8"/>
  <c r="R218" i="8"/>
  <c r="O223" i="8"/>
  <c r="M223" i="8"/>
  <c r="T225" i="8"/>
  <c r="D207" i="7"/>
  <c r="R226" i="8"/>
  <c r="M226" i="8"/>
  <c r="F207" i="7" s="1"/>
  <c r="T228" i="8"/>
  <c r="R228" i="8"/>
  <c r="O233" i="8"/>
  <c r="M233" i="8"/>
  <c r="T236" i="8"/>
  <c r="R236" i="8"/>
  <c r="O241" i="8"/>
  <c r="M241" i="8"/>
  <c r="F220" i="7" s="1"/>
  <c r="T244" i="8"/>
  <c r="R244" i="8"/>
  <c r="O249" i="8"/>
  <c r="M249" i="8"/>
  <c r="F232" i="7" s="1"/>
  <c r="T252" i="8"/>
  <c r="R252" i="8"/>
  <c r="O259" i="8"/>
  <c r="M259" i="8"/>
  <c r="F251" i="7" s="1"/>
  <c r="T274" i="8"/>
  <c r="R274" i="8"/>
  <c r="O279" i="8"/>
  <c r="M279" i="8"/>
  <c r="F259" i="7" s="1"/>
  <c r="D150" i="7"/>
  <c r="D169" i="7"/>
  <c r="D180" i="7"/>
  <c r="D197" i="7"/>
  <c r="T286" i="8"/>
  <c r="R286" i="8"/>
  <c r="O291" i="8"/>
  <c r="M291" i="8"/>
  <c r="T294" i="8"/>
  <c r="R294" i="8"/>
  <c r="D277" i="7"/>
  <c r="R297" i="8"/>
  <c r="M297" i="8"/>
  <c r="F277" i="7" s="1"/>
  <c r="T301" i="8"/>
  <c r="R301" i="8"/>
  <c r="O306" i="8"/>
  <c r="M306" i="8"/>
  <c r="F285" i="7" s="1"/>
  <c r="E287" i="7" s="1"/>
  <c r="T309" i="8"/>
  <c r="R309" i="8"/>
  <c r="T317" i="8"/>
  <c r="R317" i="8"/>
  <c r="D167" i="7"/>
  <c r="O182" i="8"/>
  <c r="T182" i="8"/>
  <c r="F180" i="7"/>
  <c r="D194" i="7"/>
  <c r="O208" i="8"/>
  <c r="O209" i="8"/>
  <c r="T209" i="8"/>
  <c r="O210" i="8"/>
  <c r="T210" i="8"/>
  <c r="F197" i="7"/>
  <c r="E252" i="7"/>
  <c r="T270" i="8"/>
  <c r="R270" i="8"/>
  <c r="R273" i="8"/>
  <c r="O280" i="8"/>
  <c r="M280" i="8"/>
  <c r="F258" i="7" s="1"/>
  <c r="E262" i="7" s="1"/>
  <c r="M286" i="8"/>
  <c r="F272" i="7" s="1"/>
  <c r="F216" i="7"/>
  <c r="D205" i="7"/>
  <c r="F194" i="7"/>
  <c r="D191" i="7"/>
  <c r="D193" i="7"/>
  <c r="O287" i="8"/>
  <c r="M287" i="8"/>
  <c r="F267" i="7" s="1"/>
  <c r="E269" i="7" s="1"/>
  <c r="T290" i="8"/>
  <c r="R290" i="8"/>
  <c r="O295" i="8"/>
  <c r="M295" i="8"/>
  <c r="F271" i="7" s="1"/>
  <c r="O302" i="8"/>
  <c r="M302" i="8"/>
  <c r="F293" i="7" s="1"/>
  <c r="T305" i="8"/>
  <c r="R305" i="8"/>
  <c r="O310" i="8"/>
  <c r="M310" i="8"/>
  <c r="F290" i="7" s="1"/>
  <c r="E298" i="7" s="1"/>
  <c r="O318" i="8"/>
  <c r="M318" i="8"/>
  <c r="F303" i="7" s="1"/>
  <c r="E304" i="7" s="1"/>
  <c r="D275" i="7"/>
  <c r="F275" i="7"/>
  <c r="D303" i="7"/>
  <c r="I106" i="5"/>
  <c r="K529" i="5"/>
  <c r="P529" i="5"/>
  <c r="I84" i="5"/>
  <c r="K214" i="5"/>
  <c r="P214" i="5"/>
  <c r="K347" i="5"/>
  <c r="P347" i="5"/>
  <c r="K406" i="5"/>
  <c r="P406" i="5"/>
  <c r="K415" i="5"/>
  <c r="P415" i="5"/>
  <c r="K441" i="5"/>
  <c r="P441" i="5"/>
  <c r="I490" i="5"/>
  <c r="I77" i="5"/>
  <c r="K134" i="5"/>
  <c r="P134" i="5"/>
  <c r="P174" i="5"/>
  <c r="K174" i="5"/>
  <c r="K508" i="5"/>
  <c r="P508" i="5"/>
  <c r="K709" i="5"/>
  <c r="P709" i="5"/>
  <c r="I53" i="5"/>
  <c r="I62" i="5"/>
  <c r="I124" i="5"/>
  <c r="K182" i="5"/>
  <c r="P182" i="5"/>
  <c r="I425" i="5"/>
  <c r="K452" i="5"/>
  <c r="P452" i="5"/>
  <c r="K480" i="5"/>
  <c r="P480" i="5"/>
  <c r="K559" i="5"/>
  <c r="P559" i="5"/>
  <c r="K607" i="5"/>
  <c r="P607" i="5"/>
  <c r="K624" i="5"/>
  <c r="P624" i="5"/>
  <c r="I634" i="5"/>
  <c r="K673" i="5"/>
  <c r="P673" i="5"/>
  <c r="K718" i="5"/>
  <c r="P718" i="5"/>
  <c r="K727" i="5"/>
  <c r="P727" i="5"/>
  <c r="K743" i="5"/>
  <c r="P743" i="5"/>
  <c r="I782" i="5"/>
  <c r="I96" i="5"/>
  <c r="K204" i="5"/>
  <c r="P204" i="5"/>
  <c r="K377" i="5"/>
  <c r="P377" i="5"/>
  <c r="I500" i="5"/>
  <c r="K641" i="5"/>
  <c r="P641" i="5"/>
  <c r="K804" i="5"/>
  <c r="P804" i="5"/>
  <c r="I46" i="5"/>
  <c r="I70" i="5"/>
  <c r="I116" i="5"/>
  <c r="I145" i="5"/>
  <c r="I156" i="5"/>
  <c r="I167" i="5"/>
  <c r="K222" i="5"/>
  <c r="P222" i="5"/>
  <c r="K304" i="5"/>
  <c r="P304" i="5"/>
  <c r="I314" i="5"/>
  <c r="I397" i="5"/>
  <c r="I518" i="5"/>
  <c r="I618" i="5"/>
  <c r="I684" i="5"/>
  <c r="I754" i="5"/>
  <c r="J192" i="5"/>
  <c r="I194" i="5" s="1"/>
  <c r="I793" i="5"/>
  <c r="I817" i="5"/>
  <c r="I233" i="5"/>
  <c r="I244" i="5"/>
  <c r="I263" i="5"/>
  <c r="I276" i="5"/>
  <c r="I325" i="5"/>
  <c r="I463" i="5"/>
  <c r="I540" i="5"/>
  <c r="J587" i="5"/>
  <c r="I599" i="5"/>
  <c r="I662" i="5"/>
  <c r="J763" i="5"/>
  <c r="I765" i="5" s="1"/>
  <c r="P825" i="5"/>
  <c r="I336" i="5"/>
  <c r="I286" i="5"/>
  <c r="I296" i="5"/>
  <c r="J574" i="5"/>
  <c r="I577" i="5" s="1"/>
  <c r="I589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1" i="3"/>
  <c r="CY1" i="3"/>
  <c r="CZ1" i="3"/>
  <c r="DA1" i="3"/>
  <c r="DB1" i="3"/>
  <c r="DC1" i="3"/>
  <c r="A2" i="3"/>
  <c r="CY2" i="3"/>
  <c r="CZ2" i="3"/>
  <c r="DB2" i="3" s="1"/>
  <c r="DA2" i="3"/>
  <c r="DC2" i="3"/>
  <c r="A3" i="3"/>
  <c r="CY3" i="3"/>
  <c r="CZ3" i="3"/>
  <c r="DB3" i="3" s="1"/>
  <c r="DA3" i="3"/>
  <c r="DC3" i="3"/>
  <c r="A4" i="3"/>
  <c r="CY4" i="3"/>
  <c r="CZ4" i="3"/>
  <c r="DA4" i="3"/>
  <c r="DB4" i="3"/>
  <c r="DC4" i="3"/>
  <c r="A5" i="3"/>
  <c r="CY5" i="3"/>
  <c r="CZ5" i="3"/>
  <c r="DB5" i="3" s="1"/>
  <c r="DA5" i="3"/>
  <c r="DC5" i="3"/>
  <c r="A6" i="3"/>
  <c r="CY6" i="3"/>
  <c r="CZ6" i="3"/>
  <c r="DB6" i="3" s="1"/>
  <c r="DA6" i="3"/>
  <c r="DC6" i="3"/>
  <c r="A7" i="3"/>
  <c r="CY7" i="3"/>
  <c r="CZ7" i="3"/>
  <c r="DA7" i="3"/>
  <c r="DB7" i="3"/>
  <c r="DC7" i="3"/>
  <c r="A8" i="3"/>
  <c r="CY8" i="3"/>
  <c r="CZ8" i="3"/>
  <c r="DA8" i="3"/>
  <c r="DB8" i="3"/>
  <c r="DC8" i="3"/>
  <c r="A9" i="3"/>
  <c r="CY9" i="3"/>
  <c r="CZ9" i="3"/>
  <c r="DB9" i="3" s="1"/>
  <c r="DA9" i="3"/>
  <c r="DC9" i="3"/>
  <c r="A10" i="3"/>
  <c r="CX10" i="3"/>
  <c r="CY10" i="3"/>
  <c r="CZ10" i="3"/>
  <c r="DB10" i="3" s="1"/>
  <c r="DA10" i="3"/>
  <c r="DC10" i="3"/>
  <c r="A11" i="3"/>
  <c r="CX11" i="3"/>
  <c r="CY11" i="3"/>
  <c r="CZ11" i="3"/>
  <c r="DA11" i="3"/>
  <c r="DB11" i="3"/>
  <c r="DC11" i="3"/>
  <c r="A12" i="3"/>
  <c r="CX12" i="3"/>
  <c r="CY12" i="3"/>
  <c r="CZ12" i="3"/>
  <c r="DA12" i="3"/>
  <c r="DB12" i="3"/>
  <c r="DC12" i="3"/>
  <c r="A13" i="3"/>
  <c r="CX13" i="3"/>
  <c r="CY13" i="3"/>
  <c r="CZ13" i="3"/>
  <c r="DB13" i="3" s="1"/>
  <c r="DA13" i="3"/>
  <c r="DC13" i="3"/>
  <c r="A14" i="3"/>
  <c r="CY14" i="3"/>
  <c r="CZ14" i="3"/>
  <c r="DB14" i="3" s="1"/>
  <c r="DA14" i="3"/>
  <c r="DC14" i="3"/>
  <c r="A15" i="3"/>
  <c r="CY15" i="3"/>
  <c r="CZ15" i="3"/>
  <c r="DA15" i="3"/>
  <c r="DB15" i="3"/>
  <c r="DC15" i="3"/>
  <c r="A16" i="3"/>
  <c r="CY16" i="3"/>
  <c r="CZ16" i="3"/>
  <c r="DA16" i="3"/>
  <c r="DB16" i="3"/>
  <c r="DC16" i="3"/>
  <c r="A17" i="3"/>
  <c r="CY17" i="3"/>
  <c r="CZ17" i="3"/>
  <c r="DB17" i="3" s="1"/>
  <c r="DA17" i="3"/>
  <c r="DC17" i="3"/>
  <c r="A18" i="3"/>
  <c r="CY18" i="3"/>
  <c r="CZ18" i="3"/>
  <c r="DB18" i="3" s="1"/>
  <c r="DA18" i="3"/>
  <c r="DC18" i="3"/>
  <c r="A19" i="3"/>
  <c r="CY19" i="3"/>
  <c r="CZ19" i="3"/>
  <c r="DA19" i="3"/>
  <c r="DB19" i="3"/>
  <c r="DC19" i="3"/>
  <c r="A20" i="3"/>
  <c r="CY20" i="3"/>
  <c r="CZ20" i="3"/>
  <c r="DA20" i="3"/>
  <c r="DB20" i="3"/>
  <c r="DC20" i="3"/>
  <c r="A21" i="3"/>
  <c r="CY21" i="3"/>
  <c r="CZ21" i="3"/>
  <c r="DB21" i="3" s="1"/>
  <c r="DA21" i="3"/>
  <c r="DC21" i="3"/>
  <c r="A22" i="3"/>
  <c r="CY22" i="3"/>
  <c r="CZ22" i="3"/>
  <c r="DB22" i="3" s="1"/>
  <c r="DA22" i="3"/>
  <c r="DC22" i="3"/>
  <c r="A23" i="3"/>
  <c r="CY23" i="3"/>
  <c r="CZ23" i="3"/>
  <c r="DA23" i="3"/>
  <c r="DB23" i="3"/>
  <c r="DC23" i="3"/>
  <c r="A24" i="3"/>
  <c r="CX24" i="3"/>
  <c r="CY24" i="3"/>
  <c r="CZ24" i="3"/>
  <c r="DA24" i="3"/>
  <c r="DB24" i="3"/>
  <c r="DC24" i="3"/>
  <c r="A25" i="3"/>
  <c r="CX25" i="3"/>
  <c r="CY25" i="3"/>
  <c r="CZ25" i="3"/>
  <c r="DB25" i="3" s="1"/>
  <c r="DA25" i="3"/>
  <c r="DC25" i="3"/>
  <c r="A26" i="3"/>
  <c r="CX26" i="3"/>
  <c r="CY26" i="3"/>
  <c r="CZ26" i="3"/>
  <c r="DB26" i="3" s="1"/>
  <c r="DA26" i="3"/>
  <c r="DC26" i="3"/>
  <c r="A27" i="3"/>
  <c r="CX27" i="3"/>
  <c r="CY27" i="3"/>
  <c r="CZ27" i="3"/>
  <c r="DA27" i="3"/>
  <c r="DB27" i="3"/>
  <c r="DC27" i="3"/>
  <c r="A28" i="3"/>
  <c r="CX28" i="3"/>
  <c r="CY28" i="3"/>
  <c r="CZ28" i="3"/>
  <c r="DA28" i="3"/>
  <c r="DB28" i="3"/>
  <c r="DC28" i="3"/>
  <c r="A29" i="3"/>
  <c r="CX29" i="3"/>
  <c r="CY29" i="3"/>
  <c r="CZ29" i="3"/>
  <c r="DB29" i="3" s="1"/>
  <c r="DA29" i="3"/>
  <c r="DC29" i="3"/>
  <c r="A30" i="3"/>
  <c r="CX30" i="3"/>
  <c r="CY30" i="3"/>
  <c r="CZ30" i="3"/>
  <c r="DB30" i="3" s="1"/>
  <c r="DA30" i="3"/>
  <c r="DC30" i="3"/>
  <c r="A31" i="3"/>
  <c r="CX31" i="3"/>
  <c r="CY31" i="3"/>
  <c r="CZ31" i="3"/>
  <c r="DA31" i="3"/>
  <c r="DB31" i="3"/>
  <c r="DC31" i="3"/>
  <c r="A32" i="3"/>
  <c r="CX32" i="3"/>
  <c r="CY32" i="3"/>
  <c r="CZ32" i="3"/>
  <c r="DA32" i="3"/>
  <c r="DB32" i="3"/>
  <c r="DC32" i="3"/>
  <c r="A33" i="3"/>
  <c r="CX33" i="3"/>
  <c r="CY33" i="3"/>
  <c r="CZ33" i="3"/>
  <c r="DB33" i="3" s="1"/>
  <c r="DA33" i="3"/>
  <c r="DC33" i="3"/>
  <c r="A34" i="3"/>
  <c r="CX34" i="3"/>
  <c r="CY34" i="3"/>
  <c r="CZ34" i="3"/>
  <c r="DB34" i="3" s="1"/>
  <c r="DA34" i="3"/>
  <c r="DC34" i="3"/>
  <c r="A35" i="3"/>
  <c r="CX35" i="3"/>
  <c r="CY35" i="3"/>
  <c r="CZ35" i="3"/>
  <c r="DA35" i="3"/>
  <c r="DB35" i="3"/>
  <c r="DC35" i="3"/>
  <c r="A36" i="3"/>
  <c r="CX36" i="3"/>
  <c r="CY36" i="3"/>
  <c r="CZ36" i="3"/>
  <c r="DA36" i="3"/>
  <c r="DB36" i="3"/>
  <c r="DC36" i="3"/>
  <c r="A37" i="3"/>
  <c r="CX37" i="3"/>
  <c r="CY37" i="3"/>
  <c r="CZ37" i="3"/>
  <c r="DB37" i="3" s="1"/>
  <c r="DA37" i="3"/>
  <c r="DC37" i="3"/>
  <c r="A38" i="3"/>
  <c r="CY38" i="3"/>
  <c r="CZ38" i="3"/>
  <c r="DB38" i="3" s="1"/>
  <c r="DA38" i="3"/>
  <c r="DC38" i="3"/>
  <c r="A39" i="3"/>
  <c r="CY39" i="3"/>
  <c r="CZ39" i="3"/>
  <c r="DA39" i="3"/>
  <c r="DB39" i="3"/>
  <c r="DC39" i="3"/>
  <c r="A40" i="3"/>
  <c r="CY40" i="3"/>
  <c r="CZ40" i="3"/>
  <c r="DA40" i="3"/>
  <c r="DB40" i="3"/>
  <c r="DC40" i="3"/>
  <c r="A41" i="3"/>
  <c r="CY41" i="3"/>
  <c r="CZ41" i="3"/>
  <c r="DB41" i="3" s="1"/>
  <c r="DA41" i="3"/>
  <c r="DC41" i="3"/>
  <c r="A42" i="3"/>
  <c r="CY42" i="3"/>
  <c r="CZ42" i="3"/>
  <c r="DB42" i="3" s="1"/>
  <c r="DA42" i="3"/>
  <c r="DC42" i="3"/>
  <c r="A43" i="3"/>
  <c r="CY43" i="3"/>
  <c r="CZ43" i="3"/>
  <c r="DA43" i="3"/>
  <c r="DB43" i="3"/>
  <c r="DC43" i="3"/>
  <c r="A44" i="3"/>
  <c r="CY44" i="3"/>
  <c r="CZ44" i="3"/>
  <c r="DA44" i="3"/>
  <c r="DB44" i="3"/>
  <c r="DC44" i="3"/>
  <c r="A45" i="3"/>
  <c r="CY45" i="3"/>
  <c r="CZ45" i="3"/>
  <c r="DB45" i="3" s="1"/>
  <c r="DA45" i="3"/>
  <c r="DC45" i="3"/>
  <c r="A46" i="3"/>
  <c r="CY46" i="3"/>
  <c r="CZ46" i="3"/>
  <c r="DB46" i="3" s="1"/>
  <c r="DA46" i="3"/>
  <c r="DC46" i="3"/>
  <c r="A47" i="3"/>
  <c r="CY47" i="3"/>
  <c r="CZ47" i="3"/>
  <c r="DA47" i="3"/>
  <c r="DB47" i="3"/>
  <c r="DC47" i="3"/>
  <c r="A48" i="3"/>
  <c r="CY48" i="3"/>
  <c r="CZ48" i="3"/>
  <c r="DA48" i="3"/>
  <c r="DB48" i="3"/>
  <c r="DC48" i="3"/>
  <c r="A49" i="3"/>
  <c r="CY49" i="3"/>
  <c r="CZ49" i="3"/>
  <c r="DB49" i="3" s="1"/>
  <c r="DA49" i="3"/>
  <c r="DC49" i="3"/>
  <c r="A50" i="3"/>
  <c r="CY50" i="3"/>
  <c r="CZ50" i="3"/>
  <c r="DB50" i="3" s="1"/>
  <c r="DA50" i="3"/>
  <c r="DC50" i="3"/>
  <c r="A51" i="3"/>
  <c r="CY51" i="3"/>
  <c r="CZ51" i="3"/>
  <c r="DA51" i="3"/>
  <c r="DB51" i="3"/>
  <c r="DC51" i="3"/>
  <c r="A52" i="3"/>
  <c r="CY52" i="3"/>
  <c r="CZ52" i="3"/>
  <c r="DA52" i="3"/>
  <c r="DB52" i="3"/>
  <c r="DC52" i="3"/>
  <c r="A53" i="3"/>
  <c r="CY53" i="3"/>
  <c r="CZ53" i="3"/>
  <c r="DB53" i="3" s="1"/>
  <c r="DA53" i="3"/>
  <c r="DC53" i="3"/>
  <c r="A54" i="3"/>
  <c r="CY54" i="3"/>
  <c r="CZ54" i="3"/>
  <c r="DB54" i="3" s="1"/>
  <c r="DA54" i="3"/>
  <c r="DC54" i="3"/>
  <c r="A55" i="3"/>
  <c r="CY55" i="3"/>
  <c r="CZ55" i="3"/>
  <c r="DA55" i="3"/>
  <c r="DB55" i="3"/>
  <c r="DC55" i="3"/>
  <c r="A56" i="3"/>
  <c r="CY56" i="3"/>
  <c r="CZ56" i="3"/>
  <c r="DA56" i="3"/>
  <c r="DB56" i="3"/>
  <c r="DC56" i="3"/>
  <c r="A57" i="3"/>
  <c r="CY57" i="3"/>
  <c r="CZ57" i="3"/>
  <c r="DB57" i="3" s="1"/>
  <c r="DA57" i="3"/>
  <c r="DC57" i="3"/>
  <c r="A58" i="3"/>
  <c r="CY58" i="3"/>
  <c r="CZ58" i="3"/>
  <c r="DB58" i="3" s="1"/>
  <c r="DA58" i="3"/>
  <c r="DC58" i="3"/>
  <c r="A59" i="3"/>
  <c r="CY59" i="3"/>
  <c r="CZ59" i="3"/>
  <c r="DA59" i="3"/>
  <c r="DB59" i="3"/>
  <c r="DC59" i="3"/>
  <c r="A60" i="3"/>
  <c r="CY60" i="3"/>
  <c r="CZ60" i="3"/>
  <c r="DA60" i="3"/>
  <c r="DB60" i="3"/>
  <c r="DC60" i="3"/>
  <c r="A61" i="3"/>
  <c r="CY61" i="3"/>
  <c r="CZ61" i="3"/>
  <c r="DB61" i="3" s="1"/>
  <c r="DA61" i="3"/>
  <c r="DC61" i="3"/>
  <c r="A62" i="3"/>
  <c r="CY62" i="3"/>
  <c r="CZ62" i="3"/>
  <c r="DB62" i="3" s="1"/>
  <c r="DA62" i="3"/>
  <c r="DC62" i="3"/>
  <c r="A63" i="3"/>
  <c r="CY63" i="3"/>
  <c r="CZ63" i="3"/>
  <c r="DA63" i="3"/>
  <c r="DB63" i="3"/>
  <c r="DC63" i="3"/>
  <c r="A64" i="3"/>
  <c r="CY64" i="3"/>
  <c r="CZ64" i="3"/>
  <c r="DA64" i="3"/>
  <c r="DB64" i="3"/>
  <c r="DC64" i="3"/>
  <c r="A65" i="3"/>
  <c r="CX65" i="3"/>
  <c r="CY65" i="3"/>
  <c r="CZ65" i="3"/>
  <c r="DB65" i="3" s="1"/>
  <c r="DA65" i="3"/>
  <c r="DC65" i="3"/>
  <c r="A66" i="3"/>
  <c r="CX66" i="3"/>
  <c r="CY66" i="3"/>
  <c r="CZ66" i="3"/>
  <c r="DB66" i="3" s="1"/>
  <c r="DA66" i="3"/>
  <c r="DC66" i="3"/>
  <c r="A67" i="3"/>
  <c r="CX67" i="3"/>
  <c r="CY67" i="3"/>
  <c r="CZ67" i="3"/>
  <c r="DA67" i="3"/>
  <c r="DB67" i="3"/>
  <c r="DC67" i="3"/>
  <c r="A68" i="3"/>
  <c r="CX68" i="3"/>
  <c r="CY68" i="3"/>
  <c r="CZ68" i="3"/>
  <c r="DA68" i="3"/>
  <c r="DB68" i="3"/>
  <c r="DC68" i="3"/>
  <c r="A69" i="3"/>
  <c r="CX69" i="3"/>
  <c r="CY69" i="3"/>
  <c r="CZ69" i="3"/>
  <c r="DB69" i="3" s="1"/>
  <c r="DA69" i="3"/>
  <c r="DC69" i="3"/>
  <c r="A70" i="3"/>
  <c r="CX70" i="3"/>
  <c r="CY70" i="3"/>
  <c r="CZ70" i="3"/>
  <c r="DB70" i="3" s="1"/>
  <c r="DA70" i="3"/>
  <c r="DC70" i="3"/>
  <c r="A71" i="3"/>
  <c r="CX71" i="3"/>
  <c r="CY71" i="3"/>
  <c r="CZ71" i="3"/>
  <c r="DA71" i="3"/>
  <c r="DB71" i="3"/>
  <c r="DC71" i="3"/>
  <c r="A72" i="3"/>
  <c r="CX72" i="3"/>
  <c r="CY72" i="3"/>
  <c r="CZ72" i="3"/>
  <c r="DA72" i="3"/>
  <c r="DB72" i="3"/>
  <c r="DC72" i="3"/>
  <c r="A73" i="3"/>
  <c r="CX73" i="3"/>
  <c r="CY73" i="3"/>
  <c r="CZ73" i="3"/>
  <c r="DB73" i="3" s="1"/>
  <c r="DA73" i="3"/>
  <c r="DC73" i="3"/>
  <c r="A74" i="3"/>
  <c r="CX74" i="3"/>
  <c r="CY74" i="3"/>
  <c r="CZ74" i="3"/>
  <c r="DB74" i="3" s="1"/>
  <c r="DA74" i="3"/>
  <c r="DC74" i="3"/>
  <c r="A75" i="3"/>
  <c r="CX75" i="3"/>
  <c r="CY75" i="3"/>
  <c r="CZ75" i="3"/>
  <c r="DA75" i="3"/>
  <c r="DB75" i="3"/>
  <c r="DC75" i="3"/>
  <c r="A76" i="3"/>
  <c r="CX76" i="3"/>
  <c r="CY76" i="3"/>
  <c r="CZ76" i="3"/>
  <c r="DA76" i="3"/>
  <c r="DB76" i="3"/>
  <c r="DC76" i="3"/>
  <c r="A77" i="3"/>
  <c r="CX77" i="3"/>
  <c r="CY77" i="3"/>
  <c r="CZ77" i="3"/>
  <c r="DB77" i="3" s="1"/>
  <c r="DA77" i="3"/>
  <c r="DC77" i="3"/>
  <c r="A78" i="3"/>
  <c r="CX78" i="3"/>
  <c r="CY78" i="3"/>
  <c r="CZ78" i="3"/>
  <c r="DB78" i="3" s="1"/>
  <c r="DA78" i="3"/>
  <c r="DC78" i="3"/>
  <c r="A79" i="3"/>
  <c r="CX79" i="3"/>
  <c r="CY79" i="3"/>
  <c r="CZ79" i="3"/>
  <c r="DA79" i="3"/>
  <c r="DB79" i="3"/>
  <c r="DC79" i="3"/>
  <c r="A80" i="3"/>
  <c r="CX80" i="3"/>
  <c r="CY80" i="3"/>
  <c r="CZ80" i="3"/>
  <c r="DA80" i="3"/>
  <c r="DB80" i="3"/>
  <c r="DC80" i="3"/>
  <c r="A81" i="3"/>
  <c r="CX81" i="3"/>
  <c r="CY81" i="3"/>
  <c r="CZ81" i="3"/>
  <c r="DB81" i="3" s="1"/>
  <c r="DA81" i="3"/>
  <c r="DC81" i="3"/>
  <c r="A82" i="3"/>
  <c r="CX82" i="3"/>
  <c r="CY82" i="3"/>
  <c r="CZ82" i="3"/>
  <c r="DB82" i="3" s="1"/>
  <c r="DA82" i="3"/>
  <c r="DC82" i="3"/>
  <c r="A83" i="3"/>
  <c r="CX83" i="3"/>
  <c r="CY83" i="3"/>
  <c r="CZ83" i="3"/>
  <c r="DA83" i="3"/>
  <c r="DB83" i="3"/>
  <c r="DC83" i="3"/>
  <c r="A84" i="3"/>
  <c r="CX84" i="3"/>
  <c r="CY84" i="3"/>
  <c r="CZ84" i="3"/>
  <c r="DA84" i="3"/>
  <c r="DB84" i="3"/>
  <c r="DC84" i="3"/>
  <c r="A85" i="3"/>
  <c r="CX85" i="3"/>
  <c r="CY85" i="3"/>
  <c r="CZ85" i="3"/>
  <c r="DB85" i="3" s="1"/>
  <c r="DA85" i="3"/>
  <c r="DC85" i="3"/>
  <c r="A86" i="3"/>
  <c r="CX86" i="3"/>
  <c r="CY86" i="3"/>
  <c r="CZ86" i="3"/>
  <c r="DB86" i="3" s="1"/>
  <c r="DA86" i="3"/>
  <c r="DC86" i="3"/>
  <c r="A87" i="3"/>
  <c r="CY87" i="3"/>
  <c r="CZ87" i="3"/>
  <c r="DA87" i="3"/>
  <c r="DB87" i="3"/>
  <c r="DC87" i="3"/>
  <c r="A88" i="3"/>
  <c r="CY88" i="3"/>
  <c r="CZ88" i="3"/>
  <c r="DA88" i="3"/>
  <c r="DB88" i="3"/>
  <c r="DC88" i="3"/>
  <c r="A89" i="3"/>
  <c r="CY89" i="3"/>
  <c r="CZ89" i="3"/>
  <c r="DB89" i="3" s="1"/>
  <c r="DA89" i="3"/>
  <c r="DC89" i="3"/>
  <c r="A90" i="3"/>
  <c r="CY90" i="3"/>
  <c r="CZ90" i="3"/>
  <c r="DB90" i="3" s="1"/>
  <c r="DA90" i="3"/>
  <c r="DC90" i="3"/>
  <c r="A91" i="3"/>
  <c r="CY91" i="3"/>
  <c r="CZ91" i="3"/>
  <c r="DA91" i="3"/>
  <c r="DB91" i="3"/>
  <c r="DC91" i="3"/>
  <c r="A92" i="3"/>
  <c r="CY92" i="3"/>
  <c r="CZ92" i="3"/>
  <c r="DA92" i="3"/>
  <c r="DB92" i="3"/>
  <c r="DC92" i="3"/>
  <c r="A93" i="3"/>
  <c r="CY93" i="3"/>
  <c r="CZ93" i="3"/>
  <c r="DB93" i="3" s="1"/>
  <c r="DA93" i="3"/>
  <c r="DC93" i="3"/>
  <c r="A94" i="3"/>
  <c r="CY94" i="3"/>
  <c r="CZ94" i="3"/>
  <c r="DB94" i="3" s="1"/>
  <c r="DA94" i="3"/>
  <c r="DC94" i="3"/>
  <c r="A95" i="3"/>
  <c r="CY95" i="3"/>
  <c r="CZ95" i="3"/>
  <c r="DA95" i="3"/>
  <c r="DB95" i="3"/>
  <c r="DC95" i="3"/>
  <c r="A96" i="3"/>
  <c r="CY96" i="3"/>
  <c r="CZ96" i="3"/>
  <c r="DA96" i="3"/>
  <c r="DB96" i="3"/>
  <c r="DC96" i="3"/>
  <c r="A97" i="3"/>
  <c r="CY97" i="3"/>
  <c r="CZ97" i="3"/>
  <c r="DB97" i="3" s="1"/>
  <c r="DA97" i="3"/>
  <c r="DC97" i="3"/>
  <c r="A98" i="3"/>
  <c r="CY98" i="3"/>
  <c r="CZ98" i="3"/>
  <c r="DB98" i="3" s="1"/>
  <c r="DA98" i="3"/>
  <c r="DC98" i="3"/>
  <c r="A99" i="3"/>
  <c r="CY99" i="3"/>
  <c r="CZ99" i="3"/>
  <c r="DA99" i="3"/>
  <c r="DB99" i="3"/>
  <c r="DC99" i="3"/>
  <c r="A100" i="3"/>
  <c r="CY100" i="3"/>
  <c r="CZ100" i="3"/>
  <c r="DA100" i="3"/>
  <c r="DB100" i="3"/>
  <c r="DC100" i="3"/>
  <c r="A101" i="3"/>
  <c r="CY101" i="3"/>
  <c r="CZ101" i="3"/>
  <c r="DB101" i="3" s="1"/>
  <c r="DA101" i="3"/>
  <c r="DC101" i="3"/>
  <c r="A102" i="3"/>
  <c r="CY102" i="3"/>
  <c r="CZ102" i="3"/>
  <c r="DB102" i="3" s="1"/>
  <c r="DA102" i="3"/>
  <c r="DC102" i="3"/>
  <c r="A103" i="3"/>
  <c r="CY103" i="3"/>
  <c r="CZ103" i="3"/>
  <c r="DA103" i="3"/>
  <c r="DB103" i="3"/>
  <c r="DC103" i="3"/>
  <c r="A104" i="3"/>
  <c r="CY104" i="3"/>
  <c r="CZ104" i="3"/>
  <c r="DA104" i="3"/>
  <c r="DB104" i="3"/>
  <c r="DC104" i="3"/>
  <c r="A105" i="3"/>
  <c r="CY105" i="3"/>
  <c r="CZ105" i="3"/>
  <c r="DB105" i="3" s="1"/>
  <c r="DA105" i="3"/>
  <c r="DC105" i="3"/>
  <c r="A106" i="3"/>
  <c r="CY106" i="3"/>
  <c r="CZ106" i="3"/>
  <c r="DB106" i="3" s="1"/>
  <c r="DA106" i="3"/>
  <c r="DC106" i="3"/>
  <c r="A107" i="3"/>
  <c r="CY107" i="3"/>
  <c r="CZ107" i="3"/>
  <c r="DA107" i="3"/>
  <c r="DB107" i="3"/>
  <c r="DC107" i="3"/>
  <c r="A108" i="3"/>
  <c r="CY108" i="3"/>
  <c r="CZ108" i="3"/>
  <c r="DA108" i="3"/>
  <c r="DB108" i="3"/>
  <c r="DC108" i="3"/>
  <c r="A109" i="3"/>
  <c r="CY109" i="3"/>
  <c r="CZ109" i="3"/>
  <c r="DB109" i="3" s="1"/>
  <c r="DA109" i="3"/>
  <c r="DC109" i="3"/>
  <c r="A110" i="3"/>
  <c r="CY110" i="3"/>
  <c r="CZ110" i="3"/>
  <c r="DB110" i="3" s="1"/>
  <c r="DA110" i="3"/>
  <c r="DC110" i="3"/>
  <c r="A111" i="3"/>
  <c r="CY111" i="3"/>
  <c r="CZ111" i="3"/>
  <c r="DA111" i="3"/>
  <c r="DB111" i="3"/>
  <c r="DC111" i="3"/>
  <c r="A112" i="3"/>
  <c r="CX112" i="3"/>
  <c r="CY112" i="3"/>
  <c r="CZ112" i="3"/>
  <c r="DA112" i="3"/>
  <c r="DB112" i="3"/>
  <c r="DC112" i="3"/>
  <c r="A113" i="3"/>
  <c r="CX113" i="3"/>
  <c r="CY113" i="3"/>
  <c r="CZ113" i="3"/>
  <c r="DB113" i="3" s="1"/>
  <c r="DA113" i="3"/>
  <c r="DC113" i="3"/>
  <c r="A114" i="3"/>
  <c r="CX114" i="3"/>
  <c r="CY114" i="3"/>
  <c r="CZ114" i="3"/>
  <c r="DB114" i="3" s="1"/>
  <c r="DA114" i="3"/>
  <c r="DC114" i="3"/>
  <c r="A115" i="3"/>
  <c r="CX115" i="3"/>
  <c r="CY115" i="3"/>
  <c r="CZ115" i="3"/>
  <c r="DA115" i="3"/>
  <c r="DB115" i="3"/>
  <c r="DC115" i="3"/>
  <c r="A116" i="3"/>
  <c r="CX116" i="3"/>
  <c r="CY116" i="3"/>
  <c r="CZ116" i="3"/>
  <c r="DA116" i="3"/>
  <c r="DB116" i="3"/>
  <c r="DC116" i="3"/>
  <c r="A117" i="3"/>
  <c r="CY117" i="3"/>
  <c r="CZ117" i="3"/>
  <c r="DB117" i="3" s="1"/>
  <c r="DA117" i="3"/>
  <c r="DC117" i="3"/>
  <c r="A118" i="3"/>
  <c r="CY118" i="3"/>
  <c r="CZ118" i="3"/>
  <c r="DB118" i="3" s="1"/>
  <c r="DA118" i="3"/>
  <c r="DC118" i="3"/>
  <c r="A119" i="3"/>
  <c r="CY119" i="3"/>
  <c r="CZ119" i="3"/>
  <c r="DA119" i="3"/>
  <c r="DB119" i="3"/>
  <c r="DC119" i="3"/>
  <c r="A120" i="3"/>
  <c r="CY120" i="3"/>
  <c r="CZ120" i="3"/>
  <c r="DA120" i="3"/>
  <c r="DB120" i="3"/>
  <c r="DC120" i="3"/>
  <c r="A121" i="3"/>
  <c r="CX121" i="3"/>
  <c r="CY121" i="3"/>
  <c r="CZ121" i="3"/>
  <c r="DB121" i="3" s="1"/>
  <c r="DA121" i="3"/>
  <c r="DC121" i="3"/>
  <c r="A122" i="3"/>
  <c r="CX122" i="3"/>
  <c r="CY122" i="3"/>
  <c r="CZ122" i="3"/>
  <c r="DB122" i="3" s="1"/>
  <c r="DA122" i="3"/>
  <c r="DC122" i="3"/>
  <c r="A123" i="3"/>
  <c r="CX123" i="3"/>
  <c r="CY123" i="3"/>
  <c r="CZ123" i="3"/>
  <c r="DA123" i="3"/>
  <c r="DB123" i="3"/>
  <c r="DC123" i="3"/>
  <c r="A124" i="3"/>
  <c r="CX124" i="3"/>
  <c r="CY124" i="3"/>
  <c r="CZ124" i="3"/>
  <c r="DA124" i="3"/>
  <c r="DB124" i="3"/>
  <c r="DC124" i="3"/>
  <c r="A125" i="3"/>
  <c r="CX125" i="3"/>
  <c r="CY125" i="3"/>
  <c r="CZ125" i="3"/>
  <c r="DB125" i="3" s="1"/>
  <c r="DA125" i="3"/>
  <c r="DC125" i="3"/>
  <c r="A126" i="3"/>
  <c r="CX126" i="3"/>
  <c r="CY126" i="3"/>
  <c r="CZ126" i="3"/>
  <c r="DB126" i="3" s="1"/>
  <c r="DA126" i="3"/>
  <c r="DC126" i="3"/>
  <c r="A127" i="3"/>
  <c r="CX127" i="3"/>
  <c r="CY127" i="3"/>
  <c r="CZ127" i="3"/>
  <c r="DA127" i="3"/>
  <c r="DB127" i="3"/>
  <c r="DC127" i="3"/>
  <c r="A128" i="3"/>
  <c r="CX128" i="3"/>
  <c r="CY128" i="3"/>
  <c r="CZ128" i="3"/>
  <c r="DA128" i="3"/>
  <c r="DB128" i="3"/>
  <c r="DC128" i="3"/>
  <c r="A129" i="3"/>
  <c r="CX129" i="3"/>
  <c r="CY129" i="3"/>
  <c r="CZ129" i="3"/>
  <c r="DB129" i="3" s="1"/>
  <c r="DA129" i="3"/>
  <c r="DC129" i="3"/>
  <c r="A130" i="3"/>
  <c r="CX130" i="3"/>
  <c r="CY130" i="3"/>
  <c r="CZ130" i="3"/>
  <c r="DB130" i="3" s="1"/>
  <c r="DA130" i="3"/>
  <c r="DC130" i="3"/>
  <c r="A131" i="3"/>
  <c r="CX131" i="3"/>
  <c r="CY131" i="3"/>
  <c r="CZ131" i="3"/>
  <c r="DA131" i="3"/>
  <c r="DB131" i="3"/>
  <c r="DC131" i="3"/>
  <c r="A132" i="3"/>
  <c r="CX132" i="3"/>
  <c r="CY132" i="3"/>
  <c r="CZ132" i="3"/>
  <c r="DA132" i="3"/>
  <c r="DB132" i="3"/>
  <c r="DC132" i="3"/>
  <c r="A133" i="3"/>
  <c r="CX133" i="3"/>
  <c r="CY133" i="3"/>
  <c r="CZ133" i="3"/>
  <c r="DB133" i="3" s="1"/>
  <c r="DA133" i="3"/>
  <c r="DC133" i="3"/>
  <c r="A134" i="3"/>
  <c r="CX134" i="3"/>
  <c r="CY134" i="3"/>
  <c r="CZ134" i="3"/>
  <c r="DB134" i="3" s="1"/>
  <c r="DA134" i="3"/>
  <c r="DC134" i="3"/>
  <c r="A135" i="3"/>
  <c r="CY135" i="3"/>
  <c r="CZ135" i="3"/>
  <c r="DA135" i="3"/>
  <c r="DB135" i="3"/>
  <c r="DC135" i="3"/>
  <c r="A136" i="3"/>
  <c r="CY136" i="3"/>
  <c r="CZ136" i="3"/>
  <c r="DA136" i="3"/>
  <c r="DB136" i="3"/>
  <c r="DC136" i="3"/>
  <c r="A137" i="3"/>
  <c r="CY137" i="3"/>
  <c r="CZ137" i="3"/>
  <c r="DB137" i="3" s="1"/>
  <c r="DA137" i="3"/>
  <c r="DC137" i="3"/>
  <c r="A138" i="3"/>
  <c r="CY138" i="3"/>
  <c r="CZ138" i="3"/>
  <c r="DB138" i="3" s="1"/>
  <c r="DA138" i="3"/>
  <c r="DC138" i="3"/>
  <c r="A139" i="3"/>
  <c r="CY139" i="3"/>
  <c r="CZ139" i="3"/>
  <c r="DA139" i="3"/>
  <c r="DB139" i="3"/>
  <c r="DC139" i="3"/>
  <c r="A140" i="3"/>
  <c r="CY140" i="3"/>
  <c r="CZ140" i="3"/>
  <c r="DA140" i="3"/>
  <c r="DB140" i="3"/>
  <c r="DC140" i="3"/>
  <c r="A141" i="3"/>
  <c r="CY141" i="3"/>
  <c r="CZ141" i="3"/>
  <c r="DB141" i="3" s="1"/>
  <c r="DA141" i="3"/>
  <c r="DC141" i="3"/>
  <c r="A142" i="3"/>
  <c r="CY142" i="3"/>
  <c r="CZ142" i="3"/>
  <c r="DB142" i="3" s="1"/>
  <c r="DA142" i="3"/>
  <c r="DC142" i="3"/>
  <c r="A143" i="3"/>
  <c r="CY143" i="3"/>
  <c r="CZ143" i="3"/>
  <c r="DA143" i="3"/>
  <c r="DB143" i="3"/>
  <c r="DC143" i="3"/>
  <c r="A144" i="3"/>
  <c r="CY144" i="3"/>
  <c r="CZ144" i="3"/>
  <c r="DA144" i="3"/>
  <c r="DB144" i="3"/>
  <c r="DC144" i="3"/>
  <c r="A145" i="3"/>
  <c r="CY145" i="3"/>
  <c r="CZ145" i="3"/>
  <c r="DB145" i="3" s="1"/>
  <c r="DA145" i="3"/>
  <c r="DC145" i="3"/>
  <c r="A146" i="3"/>
  <c r="CY146" i="3"/>
  <c r="CZ146" i="3"/>
  <c r="DB146" i="3" s="1"/>
  <c r="DA146" i="3"/>
  <c r="DC146" i="3"/>
  <c r="A147" i="3"/>
  <c r="CY147" i="3"/>
  <c r="CZ147" i="3"/>
  <c r="DA147" i="3"/>
  <c r="DB147" i="3"/>
  <c r="DC147" i="3"/>
  <c r="A148" i="3"/>
  <c r="CY148" i="3"/>
  <c r="CZ148" i="3"/>
  <c r="DA148" i="3"/>
  <c r="DB148" i="3"/>
  <c r="DC148" i="3"/>
  <c r="A149" i="3"/>
  <c r="CY149" i="3"/>
  <c r="CZ149" i="3"/>
  <c r="DB149" i="3" s="1"/>
  <c r="DA149" i="3"/>
  <c r="DC149" i="3"/>
  <c r="A150" i="3"/>
  <c r="CY150" i="3"/>
  <c r="CZ150" i="3"/>
  <c r="DB150" i="3" s="1"/>
  <c r="DA150" i="3"/>
  <c r="DC150" i="3"/>
  <c r="A151" i="3"/>
  <c r="CY151" i="3"/>
  <c r="CZ151" i="3"/>
  <c r="DA151" i="3"/>
  <c r="DB151" i="3"/>
  <c r="DC151" i="3"/>
  <c r="A152" i="3"/>
  <c r="CY152" i="3"/>
  <c r="CZ152" i="3"/>
  <c r="DA152" i="3"/>
  <c r="DB152" i="3"/>
  <c r="DC152" i="3"/>
  <c r="A153" i="3"/>
  <c r="CY153" i="3"/>
  <c r="CZ153" i="3"/>
  <c r="DB153" i="3" s="1"/>
  <c r="DA153" i="3"/>
  <c r="DC153" i="3"/>
  <c r="A154" i="3"/>
  <c r="CY154" i="3"/>
  <c r="CZ154" i="3"/>
  <c r="DB154" i="3" s="1"/>
  <c r="DA154" i="3"/>
  <c r="DC154" i="3"/>
  <c r="A155" i="3"/>
  <c r="CY155" i="3"/>
  <c r="CZ155" i="3"/>
  <c r="DA155" i="3"/>
  <c r="DB155" i="3"/>
  <c r="DC155" i="3"/>
  <c r="A156" i="3"/>
  <c r="CX156" i="3"/>
  <c r="CY156" i="3"/>
  <c r="CZ156" i="3"/>
  <c r="DA156" i="3"/>
  <c r="DB156" i="3"/>
  <c r="DC156" i="3"/>
  <c r="A157" i="3"/>
  <c r="CX157" i="3"/>
  <c r="CY157" i="3"/>
  <c r="CZ157" i="3"/>
  <c r="DB157" i="3" s="1"/>
  <c r="DA157" i="3"/>
  <c r="DC157" i="3"/>
  <c r="A158" i="3"/>
  <c r="CX158" i="3"/>
  <c r="CY158" i="3"/>
  <c r="CZ158" i="3"/>
  <c r="DB158" i="3" s="1"/>
  <c r="DA158" i="3"/>
  <c r="DC158" i="3"/>
  <c r="A159" i="3"/>
  <c r="CX159" i="3"/>
  <c r="CY159" i="3"/>
  <c r="CZ159" i="3"/>
  <c r="DA159" i="3"/>
  <c r="DB159" i="3"/>
  <c r="DC159" i="3"/>
  <c r="A160" i="3"/>
  <c r="CX160" i="3"/>
  <c r="CY160" i="3"/>
  <c r="CZ160" i="3"/>
  <c r="DA160" i="3"/>
  <c r="DB160" i="3"/>
  <c r="DC160" i="3"/>
  <c r="A161" i="3"/>
  <c r="CX161" i="3"/>
  <c r="CY161" i="3"/>
  <c r="CZ161" i="3"/>
  <c r="DB161" i="3" s="1"/>
  <c r="DA161" i="3"/>
  <c r="DC161" i="3"/>
  <c r="A162" i="3"/>
  <c r="CX162" i="3"/>
  <c r="CY162" i="3"/>
  <c r="CZ162" i="3"/>
  <c r="DB162" i="3" s="1"/>
  <c r="DA162" i="3"/>
  <c r="DC162" i="3"/>
  <c r="A163" i="3"/>
  <c r="CX163" i="3"/>
  <c r="CY163" i="3"/>
  <c r="CZ163" i="3"/>
  <c r="DA163" i="3"/>
  <c r="DB163" i="3"/>
  <c r="DC163" i="3"/>
  <c r="A164" i="3"/>
  <c r="CX164" i="3"/>
  <c r="CY164" i="3"/>
  <c r="CZ164" i="3"/>
  <c r="DA164" i="3"/>
  <c r="DB164" i="3"/>
  <c r="DC164" i="3"/>
  <c r="A165" i="3"/>
  <c r="CX165" i="3"/>
  <c r="CY165" i="3"/>
  <c r="CZ165" i="3"/>
  <c r="DB165" i="3" s="1"/>
  <c r="DA165" i="3"/>
  <c r="DC165" i="3"/>
  <c r="A166" i="3"/>
  <c r="CX166" i="3"/>
  <c r="CY166" i="3"/>
  <c r="CZ166" i="3"/>
  <c r="DB166" i="3" s="1"/>
  <c r="DA166" i="3"/>
  <c r="DC166" i="3"/>
  <c r="A167" i="3"/>
  <c r="CX167" i="3"/>
  <c r="CY167" i="3"/>
  <c r="CZ167" i="3"/>
  <c r="DA167" i="3"/>
  <c r="DB167" i="3"/>
  <c r="DC167" i="3"/>
  <c r="A168" i="3"/>
  <c r="CX168" i="3"/>
  <c r="CY168" i="3"/>
  <c r="CZ168" i="3"/>
  <c r="DA168" i="3"/>
  <c r="DB168" i="3"/>
  <c r="DC168" i="3"/>
  <c r="A169" i="3"/>
  <c r="CX169" i="3"/>
  <c r="CY169" i="3"/>
  <c r="CZ169" i="3"/>
  <c r="DB169" i="3" s="1"/>
  <c r="DA169" i="3"/>
  <c r="DC169" i="3"/>
  <c r="A170" i="3"/>
  <c r="CX170" i="3"/>
  <c r="CY170" i="3"/>
  <c r="CZ170" i="3"/>
  <c r="DB170" i="3" s="1"/>
  <c r="DA170" i="3"/>
  <c r="DC170" i="3"/>
  <c r="A171" i="3"/>
  <c r="CX171" i="3"/>
  <c r="CY171" i="3"/>
  <c r="CZ171" i="3"/>
  <c r="DA171" i="3"/>
  <c r="DB171" i="3"/>
  <c r="DC171" i="3"/>
  <c r="A172" i="3"/>
  <c r="CX172" i="3"/>
  <c r="CY172" i="3"/>
  <c r="CZ172" i="3"/>
  <c r="DA172" i="3"/>
  <c r="DB172" i="3"/>
  <c r="DC172" i="3"/>
  <c r="A173" i="3"/>
  <c r="CX173" i="3"/>
  <c r="CY173" i="3"/>
  <c r="CZ173" i="3"/>
  <c r="DB173" i="3" s="1"/>
  <c r="DA173" i="3"/>
  <c r="DC173" i="3"/>
  <c r="A174" i="3"/>
  <c r="CX174" i="3"/>
  <c r="CY174" i="3"/>
  <c r="CZ174" i="3"/>
  <c r="DB174" i="3" s="1"/>
  <c r="DA174" i="3"/>
  <c r="DC174" i="3"/>
  <c r="A175" i="3"/>
  <c r="CX175" i="3"/>
  <c r="CY175" i="3"/>
  <c r="CZ175" i="3"/>
  <c r="DA175" i="3"/>
  <c r="DB175" i="3"/>
  <c r="DC175" i="3"/>
  <c r="A176" i="3"/>
  <c r="CX176" i="3"/>
  <c r="CY176" i="3"/>
  <c r="CZ176" i="3"/>
  <c r="DA176" i="3"/>
  <c r="DB176" i="3"/>
  <c r="DC176" i="3"/>
  <c r="A177" i="3"/>
  <c r="CX177" i="3"/>
  <c r="CY177" i="3"/>
  <c r="CZ177" i="3"/>
  <c r="DB177" i="3" s="1"/>
  <c r="DA177" i="3"/>
  <c r="DC177" i="3"/>
  <c r="A178" i="3"/>
  <c r="CX178" i="3"/>
  <c r="CY178" i="3"/>
  <c r="CZ178" i="3"/>
  <c r="DB178" i="3" s="1"/>
  <c r="DA178" i="3"/>
  <c r="DC178" i="3"/>
  <c r="A179" i="3"/>
  <c r="CX179" i="3"/>
  <c r="CY179" i="3"/>
  <c r="CZ179" i="3"/>
  <c r="DA179" i="3"/>
  <c r="DB179" i="3"/>
  <c r="DC179" i="3"/>
  <c r="A180" i="3"/>
  <c r="CX180" i="3"/>
  <c r="CY180" i="3"/>
  <c r="CZ180" i="3"/>
  <c r="DA180" i="3"/>
  <c r="DB180" i="3"/>
  <c r="DC180" i="3"/>
  <c r="A181" i="3"/>
  <c r="CY181" i="3"/>
  <c r="CZ181" i="3"/>
  <c r="DB181" i="3" s="1"/>
  <c r="DA181" i="3"/>
  <c r="DC181" i="3"/>
  <c r="A182" i="3"/>
  <c r="CY182" i="3"/>
  <c r="CZ182" i="3"/>
  <c r="DB182" i="3" s="1"/>
  <c r="DA182" i="3"/>
  <c r="DC182" i="3"/>
  <c r="A183" i="3"/>
  <c r="CY183" i="3"/>
  <c r="CZ183" i="3"/>
  <c r="DA183" i="3"/>
  <c r="DB183" i="3"/>
  <c r="DC183" i="3"/>
  <c r="A184" i="3"/>
  <c r="CY184" i="3"/>
  <c r="CZ184" i="3"/>
  <c r="DA184" i="3"/>
  <c r="DB184" i="3"/>
  <c r="DC184" i="3"/>
  <c r="A185" i="3"/>
  <c r="CY185" i="3"/>
  <c r="CZ185" i="3"/>
  <c r="DB185" i="3" s="1"/>
  <c r="DA185" i="3"/>
  <c r="DC185" i="3"/>
  <c r="A186" i="3"/>
  <c r="CY186" i="3"/>
  <c r="CZ186" i="3"/>
  <c r="DB186" i="3" s="1"/>
  <c r="DA186" i="3"/>
  <c r="DC186" i="3"/>
  <c r="A187" i="3"/>
  <c r="CY187" i="3"/>
  <c r="CZ187" i="3"/>
  <c r="DA187" i="3"/>
  <c r="DB187" i="3"/>
  <c r="DC187" i="3"/>
  <c r="A188" i="3"/>
  <c r="CY188" i="3"/>
  <c r="CZ188" i="3"/>
  <c r="DA188" i="3"/>
  <c r="DB188" i="3"/>
  <c r="DC188" i="3"/>
  <c r="A189" i="3"/>
  <c r="CX189" i="3"/>
  <c r="CY189" i="3"/>
  <c r="CZ189" i="3"/>
  <c r="DB189" i="3" s="1"/>
  <c r="DA189" i="3"/>
  <c r="DC189" i="3"/>
  <c r="A190" i="3"/>
  <c r="CX190" i="3"/>
  <c r="CY190" i="3"/>
  <c r="CZ190" i="3"/>
  <c r="DB190" i="3" s="1"/>
  <c r="DA190" i="3"/>
  <c r="DC190" i="3"/>
  <c r="A191" i="3"/>
  <c r="CX191" i="3"/>
  <c r="CY191" i="3"/>
  <c r="CZ191" i="3"/>
  <c r="DA191" i="3"/>
  <c r="DB191" i="3"/>
  <c r="DC191" i="3"/>
  <c r="A192" i="3"/>
  <c r="CX192" i="3"/>
  <c r="CY192" i="3"/>
  <c r="CZ192" i="3"/>
  <c r="DA192" i="3"/>
  <c r="DB192" i="3"/>
  <c r="DC192" i="3"/>
  <c r="A193" i="3"/>
  <c r="CX193" i="3"/>
  <c r="CY193" i="3"/>
  <c r="CZ193" i="3"/>
  <c r="DB193" i="3" s="1"/>
  <c r="DA193" i="3"/>
  <c r="DC193" i="3"/>
  <c r="A194" i="3"/>
  <c r="CX194" i="3"/>
  <c r="CY194" i="3"/>
  <c r="CZ194" i="3"/>
  <c r="DB194" i="3" s="1"/>
  <c r="DA194" i="3"/>
  <c r="DC194" i="3"/>
  <c r="A195" i="3"/>
  <c r="CX195" i="3"/>
  <c r="CY195" i="3"/>
  <c r="CZ195" i="3"/>
  <c r="DA195" i="3"/>
  <c r="DB195" i="3"/>
  <c r="DC195" i="3"/>
  <c r="A196" i="3"/>
  <c r="CX196" i="3"/>
  <c r="CY196" i="3"/>
  <c r="CZ196" i="3"/>
  <c r="DA196" i="3"/>
  <c r="DB196" i="3"/>
  <c r="DC196" i="3"/>
  <c r="A197" i="3"/>
  <c r="CX197" i="3"/>
  <c r="CY197" i="3"/>
  <c r="CZ197" i="3"/>
  <c r="DB197" i="3" s="1"/>
  <c r="DA197" i="3"/>
  <c r="DC197" i="3"/>
  <c r="A198" i="3"/>
  <c r="CY198" i="3"/>
  <c r="CZ198" i="3"/>
  <c r="DB198" i="3" s="1"/>
  <c r="DA198" i="3"/>
  <c r="DC198" i="3"/>
  <c r="A199" i="3"/>
  <c r="CY199" i="3"/>
  <c r="CZ199" i="3"/>
  <c r="DA199" i="3"/>
  <c r="DB199" i="3"/>
  <c r="DC199" i="3"/>
  <c r="A200" i="3"/>
  <c r="CY200" i="3"/>
  <c r="CZ200" i="3"/>
  <c r="DA200" i="3"/>
  <c r="DB200" i="3"/>
  <c r="DC200" i="3"/>
  <c r="A201" i="3"/>
  <c r="CY201" i="3"/>
  <c r="CZ201" i="3"/>
  <c r="DB201" i="3" s="1"/>
  <c r="DA201" i="3"/>
  <c r="DC201" i="3"/>
  <c r="A202" i="3"/>
  <c r="CY202" i="3"/>
  <c r="CZ202" i="3"/>
  <c r="DB202" i="3" s="1"/>
  <c r="DA202" i="3"/>
  <c r="DC202" i="3"/>
  <c r="A203" i="3"/>
  <c r="CY203" i="3"/>
  <c r="CZ203" i="3"/>
  <c r="DA203" i="3"/>
  <c r="DB203" i="3"/>
  <c r="DC203" i="3"/>
  <c r="A204" i="3"/>
  <c r="CY204" i="3"/>
  <c r="CZ204" i="3"/>
  <c r="DA204" i="3"/>
  <c r="DB204" i="3"/>
  <c r="DC204" i="3"/>
  <c r="A205" i="3"/>
  <c r="CY205" i="3"/>
  <c r="CZ205" i="3"/>
  <c r="DB205" i="3" s="1"/>
  <c r="DA205" i="3"/>
  <c r="DC205" i="3"/>
  <c r="A206" i="3"/>
  <c r="CY206" i="3"/>
  <c r="CZ206" i="3"/>
  <c r="DB206" i="3" s="1"/>
  <c r="DA206" i="3"/>
  <c r="DC206" i="3"/>
  <c r="A207" i="3"/>
  <c r="CY207" i="3"/>
  <c r="CZ207" i="3"/>
  <c r="DA207" i="3"/>
  <c r="DB207" i="3"/>
  <c r="DC207" i="3"/>
  <c r="A208" i="3"/>
  <c r="CY208" i="3"/>
  <c r="CZ208" i="3"/>
  <c r="DA208" i="3"/>
  <c r="DB208" i="3"/>
  <c r="DC208" i="3"/>
  <c r="A209" i="3"/>
  <c r="CY209" i="3"/>
  <c r="CZ209" i="3"/>
  <c r="DB209" i="3" s="1"/>
  <c r="DA209" i="3"/>
  <c r="DC209" i="3"/>
  <c r="A210" i="3"/>
  <c r="CY210" i="3"/>
  <c r="CZ210" i="3"/>
  <c r="DB210" i="3" s="1"/>
  <c r="DA210" i="3"/>
  <c r="DC210" i="3"/>
  <c r="A211" i="3"/>
  <c r="CY211" i="3"/>
  <c r="CZ211" i="3"/>
  <c r="DA211" i="3"/>
  <c r="DB211" i="3"/>
  <c r="DC211" i="3"/>
  <c r="A212" i="3"/>
  <c r="CY212" i="3"/>
  <c r="CZ212" i="3"/>
  <c r="DA212" i="3"/>
  <c r="DB212" i="3"/>
  <c r="DC212" i="3"/>
  <c r="A213" i="3"/>
  <c r="CX213" i="3"/>
  <c r="CY213" i="3"/>
  <c r="CZ213" i="3"/>
  <c r="DB213" i="3" s="1"/>
  <c r="DA213" i="3"/>
  <c r="DC213" i="3"/>
  <c r="A214" i="3"/>
  <c r="CX214" i="3"/>
  <c r="CY214" i="3"/>
  <c r="CZ214" i="3"/>
  <c r="DB214" i="3" s="1"/>
  <c r="DA214" i="3"/>
  <c r="DC214" i="3"/>
  <c r="A215" i="3"/>
  <c r="CX215" i="3"/>
  <c r="CY215" i="3"/>
  <c r="CZ215" i="3"/>
  <c r="DA215" i="3"/>
  <c r="DB215" i="3"/>
  <c r="DC215" i="3"/>
  <c r="A216" i="3"/>
  <c r="CX216" i="3"/>
  <c r="CY216" i="3"/>
  <c r="CZ216" i="3"/>
  <c r="DA216" i="3"/>
  <c r="DB216" i="3"/>
  <c r="DC216" i="3"/>
  <c r="A217" i="3"/>
  <c r="CX217" i="3"/>
  <c r="CY217" i="3"/>
  <c r="CZ217" i="3"/>
  <c r="DB217" i="3" s="1"/>
  <c r="DA217" i="3"/>
  <c r="DC217" i="3"/>
  <c r="A218" i="3"/>
  <c r="CX218" i="3"/>
  <c r="CY218" i="3"/>
  <c r="CZ218" i="3"/>
  <c r="DB218" i="3" s="1"/>
  <c r="DA218" i="3"/>
  <c r="DC218" i="3"/>
  <c r="A219" i="3"/>
  <c r="CY219" i="3"/>
  <c r="CZ219" i="3"/>
  <c r="DA219" i="3"/>
  <c r="DB219" i="3"/>
  <c r="DC219" i="3"/>
  <c r="A220" i="3"/>
  <c r="CY220" i="3"/>
  <c r="CZ220" i="3"/>
  <c r="DA220" i="3"/>
  <c r="DB220" i="3"/>
  <c r="DC220" i="3"/>
  <c r="A221" i="3"/>
  <c r="CY221" i="3"/>
  <c r="CZ221" i="3"/>
  <c r="DB221" i="3" s="1"/>
  <c r="DA221" i="3"/>
  <c r="DC221" i="3"/>
  <c r="A222" i="3"/>
  <c r="CY222" i="3"/>
  <c r="CZ222" i="3"/>
  <c r="DB222" i="3" s="1"/>
  <c r="DA222" i="3"/>
  <c r="DC222" i="3"/>
  <c r="A223" i="3"/>
  <c r="CX223" i="3"/>
  <c r="CY223" i="3"/>
  <c r="CZ223" i="3"/>
  <c r="DA223" i="3"/>
  <c r="DB223" i="3"/>
  <c r="DC223" i="3"/>
  <c r="A224" i="3"/>
  <c r="CX224" i="3"/>
  <c r="CY224" i="3"/>
  <c r="CZ224" i="3"/>
  <c r="DA224" i="3"/>
  <c r="DB224" i="3"/>
  <c r="DC224" i="3"/>
  <c r="A225" i="3"/>
  <c r="CX225" i="3"/>
  <c r="CY225" i="3"/>
  <c r="CZ225" i="3"/>
  <c r="DB225" i="3" s="1"/>
  <c r="DA225" i="3"/>
  <c r="DC225" i="3"/>
  <c r="A226" i="3"/>
  <c r="CX226" i="3"/>
  <c r="CY226" i="3"/>
  <c r="CZ226" i="3"/>
  <c r="DB226" i="3" s="1"/>
  <c r="DA226" i="3"/>
  <c r="DC226" i="3"/>
  <c r="A227" i="3"/>
  <c r="CX227" i="3"/>
  <c r="CY227" i="3"/>
  <c r="CZ227" i="3"/>
  <c r="DA227" i="3"/>
  <c r="DB227" i="3"/>
  <c r="DC227" i="3"/>
  <c r="A228" i="3"/>
  <c r="CX228" i="3"/>
  <c r="CY228" i="3"/>
  <c r="CZ228" i="3"/>
  <c r="DA228" i="3"/>
  <c r="DB228" i="3"/>
  <c r="DC228" i="3"/>
  <c r="A229" i="3"/>
  <c r="CX229" i="3"/>
  <c r="CY229" i="3"/>
  <c r="CZ229" i="3"/>
  <c r="DB229" i="3" s="1"/>
  <c r="DA229" i="3"/>
  <c r="DC229" i="3"/>
  <c r="A230" i="3"/>
  <c r="CX230" i="3"/>
  <c r="CY230" i="3"/>
  <c r="CZ230" i="3"/>
  <c r="DB230" i="3" s="1"/>
  <c r="DA230" i="3"/>
  <c r="DC230" i="3"/>
  <c r="A231" i="3"/>
  <c r="CX231" i="3"/>
  <c r="CY231" i="3"/>
  <c r="CZ231" i="3"/>
  <c r="DA231" i="3"/>
  <c r="DB231" i="3"/>
  <c r="DC231" i="3"/>
  <c r="A232" i="3"/>
  <c r="CX232" i="3"/>
  <c r="CY232" i="3"/>
  <c r="CZ232" i="3"/>
  <c r="DA232" i="3"/>
  <c r="DB232" i="3"/>
  <c r="DC232" i="3"/>
  <c r="A233" i="3"/>
  <c r="CX233" i="3"/>
  <c r="CY233" i="3"/>
  <c r="CZ233" i="3"/>
  <c r="DB233" i="3" s="1"/>
  <c r="DA233" i="3"/>
  <c r="DC233" i="3"/>
  <c r="A234" i="3"/>
  <c r="CX234" i="3"/>
  <c r="CY234" i="3"/>
  <c r="CZ234" i="3"/>
  <c r="DB234" i="3" s="1"/>
  <c r="DA234" i="3"/>
  <c r="DC234" i="3"/>
  <c r="A235" i="3"/>
  <c r="CX235" i="3"/>
  <c r="CY235" i="3"/>
  <c r="CZ235" i="3"/>
  <c r="DA235" i="3"/>
  <c r="DB235" i="3"/>
  <c r="DC235" i="3"/>
  <c r="A236" i="3"/>
  <c r="CX236" i="3"/>
  <c r="CY236" i="3"/>
  <c r="CZ236" i="3"/>
  <c r="DA236" i="3"/>
  <c r="DB236" i="3"/>
  <c r="DC236" i="3"/>
  <c r="A237" i="3"/>
  <c r="CY237" i="3"/>
  <c r="CZ237" i="3"/>
  <c r="DB237" i="3" s="1"/>
  <c r="DA237" i="3"/>
  <c r="DC237" i="3"/>
  <c r="A238" i="3"/>
  <c r="CY238" i="3"/>
  <c r="CZ238" i="3"/>
  <c r="DB238" i="3" s="1"/>
  <c r="DA238" i="3"/>
  <c r="DC238" i="3"/>
  <c r="A239" i="3"/>
  <c r="CY239" i="3"/>
  <c r="CZ239" i="3"/>
  <c r="DA239" i="3"/>
  <c r="DB239" i="3"/>
  <c r="DC239" i="3"/>
  <c r="A240" i="3"/>
  <c r="CY240" i="3"/>
  <c r="CZ240" i="3"/>
  <c r="DA240" i="3"/>
  <c r="DB240" i="3"/>
  <c r="DC240" i="3"/>
  <c r="A241" i="3"/>
  <c r="CY241" i="3"/>
  <c r="CZ241" i="3"/>
  <c r="DB241" i="3" s="1"/>
  <c r="DA241" i="3"/>
  <c r="DC241" i="3"/>
  <c r="A242" i="3"/>
  <c r="CY242" i="3"/>
  <c r="CZ242" i="3"/>
  <c r="DB242" i="3" s="1"/>
  <c r="DA242" i="3"/>
  <c r="DC242" i="3"/>
  <c r="A243" i="3"/>
  <c r="CY243" i="3"/>
  <c r="CZ243" i="3"/>
  <c r="DA243" i="3"/>
  <c r="DB243" i="3"/>
  <c r="DC243" i="3"/>
  <c r="A244" i="3"/>
  <c r="CY244" i="3"/>
  <c r="CZ244" i="3"/>
  <c r="DA244" i="3"/>
  <c r="DB244" i="3"/>
  <c r="DC244" i="3"/>
  <c r="A245" i="3"/>
  <c r="CY245" i="3"/>
  <c r="CZ245" i="3"/>
  <c r="DB245" i="3" s="1"/>
  <c r="DA245" i="3"/>
  <c r="DC245" i="3"/>
  <c r="A246" i="3"/>
  <c r="CY246" i="3"/>
  <c r="CZ246" i="3"/>
  <c r="DB246" i="3" s="1"/>
  <c r="DA246" i="3"/>
  <c r="DC246" i="3"/>
  <c r="A247" i="3"/>
  <c r="CY247" i="3"/>
  <c r="CZ247" i="3"/>
  <c r="DA247" i="3"/>
  <c r="DB247" i="3"/>
  <c r="DC247" i="3"/>
  <c r="A248" i="3"/>
  <c r="CX248" i="3"/>
  <c r="CY248" i="3"/>
  <c r="CZ248" i="3"/>
  <c r="DA248" i="3"/>
  <c r="DB248" i="3"/>
  <c r="DC248" i="3"/>
  <c r="A249" i="3"/>
  <c r="CX249" i="3"/>
  <c r="CY249" i="3"/>
  <c r="CZ249" i="3"/>
  <c r="DB249" i="3" s="1"/>
  <c r="DA249" i="3"/>
  <c r="DC249" i="3"/>
  <c r="A250" i="3"/>
  <c r="CX250" i="3"/>
  <c r="CY250" i="3"/>
  <c r="CZ250" i="3"/>
  <c r="DB250" i="3" s="1"/>
  <c r="DA250" i="3"/>
  <c r="DC250" i="3"/>
  <c r="A251" i="3"/>
  <c r="CX251" i="3"/>
  <c r="CY251" i="3"/>
  <c r="CZ251" i="3"/>
  <c r="DA251" i="3"/>
  <c r="DB251" i="3"/>
  <c r="DC251" i="3"/>
  <c r="A252" i="3"/>
  <c r="CX252" i="3"/>
  <c r="CY252" i="3"/>
  <c r="CZ252" i="3"/>
  <c r="DA252" i="3"/>
  <c r="DB252" i="3"/>
  <c r="DC252" i="3"/>
  <c r="A253" i="3"/>
  <c r="CX253" i="3"/>
  <c r="CY253" i="3"/>
  <c r="CZ253" i="3"/>
  <c r="DB253" i="3" s="1"/>
  <c r="DA253" i="3"/>
  <c r="DC253" i="3"/>
  <c r="A254" i="3"/>
  <c r="CX254" i="3"/>
  <c r="CY254" i="3"/>
  <c r="CZ254" i="3"/>
  <c r="DB254" i="3" s="1"/>
  <c r="DA254" i="3"/>
  <c r="DC254" i="3"/>
  <c r="A255" i="3"/>
  <c r="CX255" i="3"/>
  <c r="CY255" i="3"/>
  <c r="CZ255" i="3"/>
  <c r="DA255" i="3"/>
  <c r="DB255" i="3"/>
  <c r="DC255" i="3"/>
  <c r="A256" i="3"/>
  <c r="CX256" i="3"/>
  <c r="CY256" i="3"/>
  <c r="CZ256" i="3"/>
  <c r="DA256" i="3"/>
  <c r="DB256" i="3"/>
  <c r="DC256" i="3"/>
  <c r="A257" i="3"/>
  <c r="CX257" i="3"/>
  <c r="CY257" i="3"/>
  <c r="CZ257" i="3"/>
  <c r="DB257" i="3" s="1"/>
  <c r="DA257" i="3"/>
  <c r="DC257" i="3"/>
  <c r="A258" i="3"/>
  <c r="CX258" i="3"/>
  <c r="CY258" i="3"/>
  <c r="CZ258" i="3"/>
  <c r="DB258" i="3" s="1"/>
  <c r="DA258" i="3"/>
  <c r="DC258" i="3"/>
  <c r="A259" i="3"/>
  <c r="CX259" i="3"/>
  <c r="CY259" i="3"/>
  <c r="CZ259" i="3"/>
  <c r="DA259" i="3"/>
  <c r="DB259" i="3"/>
  <c r="DC259" i="3"/>
  <c r="A260" i="3"/>
  <c r="CX260" i="3"/>
  <c r="CY260" i="3"/>
  <c r="CZ260" i="3"/>
  <c r="DA260" i="3"/>
  <c r="DB260" i="3"/>
  <c r="DC260" i="3"/>
  <c r="A261" i="3"/>
  <c r="CX261" i="3"/>
  <c r="CY261" i="3"/>
  <c r="CZ261" i="3"/>
  <c r="DB261" i="3" s="1"/>
  <c r="DA261" i="3"/>
  <c r="DC261" i="3"/>
  <c r="A262" i="3"/>
  <c r="CX262" i="3"/>
  <c r="CY262" i="3"/>
  <c r="CZ262" i="3"/>
  <c r="DB262" i="3" s="1"/>
  <c r="DA262" i="3"/>
  <c r="DC262" i="3"/>
  <c r="A263" i="3"/>
  <c r="CX263" i="3"/>
  <c r="CY263" i="3"/>
  <c r="CZ263" i="3"/>
  <c r="DA263" i="3"/>
  <c r="DB263" i="3"/>
  <c r="DC263" i="3"/>
  <c r="A264" i="3"/>
  <c r="CX264" i="3"/>
  <c r="CY264" i="3"/>
  <c r="CZ264" i="3"/>
  <c r="DA264" i="3"/>
  <c r="DB264" i="3"/>
  <c r="DC264" i="3"/>
  <c r="A265" i="3"/>
  <c r="CX265" i="3"/>
  <c r="CY265" i="3"/>
  <c r="CZ265" i="3"/>
  <c r="DB265" i="3" s="1"/>
  <c r="DA265" i="3"/>
  <c r="DC265" i="3"/>
  <c r="A266" i="3"/>
  <c r="CX266" i="3"/>
  <c r="CY266" i="3"/>
  <c r="CZ266" i="3"/>
  <c r="DB266" i="3" s="1"/>
  <c r="DA266" i="3"/>
  <c r="DC266" i="3"/>
  <c r="A267" i="3"/>
  <c r="CX267" i="3"/>
  <c r="CY267" i="3"/>
  <c r="CZ267" i="3"/>
  <c r="DA267" i="3"/>
  <c r="DB267" i="3"/>
  <c r="DC267" i="3"/>
  <c r="A268" i="3"/>
  <c r="CX268" i="3"/>
  <c r="CY268" i="3"/>
  <c r="CZ268" i="3"/>
  <c r="DA268" i="3"/>
  <c r="DB268" i="3"/>
  <c r="DC268" i="3"/>
  <c r="A269" i="3"/>
  <c r="CX269" i="3"/>
  <c r="CY269" i="3"/>
  <c r="CZ269" i="3"/>
  <c r="DB269" i="3" s="1"/>
  <c r="DA269" i="3"/>
  <c r="DC269" i="3"/>
  <c r="A270" i="3"/>
  <c r="CX270" i="3"/>
  <c r="CY270" i="3"/>
  <c r="CZ270" i="3"/>
  <c r="DB270" i="3" s="1"/>
  <c r="DA270" i="3"/>
  <c r="DC270" i="3"/>
  <c r="A271" i="3"/>
  <c r="CX271" i="3"/>
  <c r="CY271" i="3"/>
  <c r="CZ271" i="3"/>
  <c r="DA271" i="3"/>
  <c r="DB271" i="3"/>
  <c r="DC271" i="3"/>
  <c r="A272" i="3"/>
  <c r="CX272" i="3"/>
  <c r="CY272" i="3"/>
  <c r="CZ272" i="3"/>
  <c r="DA272" i="3"/>
  <c r="DB272" i="3"/>
  <c r="DC272" i="3"/>
  <c r="A273" i="3"/>
  <c r="CX273" i="3"/>
  <c r="CY273" i="3"/>
  <c r="CZ273" i="3"/>
  <c r="DB273" i="3" s="1"/>
  <c r="DA273" i="3"/>
  <c r="DC273" i="3"/>
  <c r="A274" i="3"/>
  <c r="CX274" i="3"/>
  <c r="CY274" i="3"/>
  <c r="CZ274" i="3"/>
  <c r="DB274" i="3" s="1"/>
  <c r="DA274" i="3"/>
  <c r="DC274" i="3"/>
  <c r="A275" i="3"/>
  <c r="CX275" i="3"/>
  <c r="CY275" i="3"/>
  <c r="CZ275" i="3"/>
  <c r="DA275" i="3"/>
  <c r="DB275" i="3"/>
  <c r="DC275" i="3"/>
  <c r="A276" i="3"/>
  <c r="CX276" i="3"/>
  <c r="CY276" i="3"/>
  <c r="CZ276" i="3"/>
  <c r="DA276" i="3"/>
  <c r="DB276" i="3"/>
  <c r="DC276" i="3"/>
  <c r="A277" i="3"/>
  <c r="CX277" i="3"/>
  <c r="CY277" i="3"/>
  <c r="CZ277" i="3"/>
  <c r="DB277" i="3" s="1"/>
  <c r="DA277" i="3"/>
  <c r="DC277" i="3"/>
  <c r="A278" i="3"/>
  <c r="CX278" i="3"/>
  <c r="CY278" i="3"/>
  <c r="CZ278" i="3"/>
  <c r="DB278" i="3" s="1"/>
  <c r="DA278" i="3"/>
  <c r="DC278" i="3"/>
  <c r="A279" i="3"/>
  <c r="CX279" i="3"/>
  <c r="CY279" i="3"/>
  <c r="CZ279" i="3"/>
  <c r="DA279" i="3"/>
  <c r="DB279" i="3"/>
  <c r="DC279" i="3"/>
  <c r="A280" i="3"/>
  <c r="CX280" i="3"/>
  <c r="CY280" i="3"/>
  <c r="CZ280" i="3"/>
  <c r="DA280" i="3"/>
  <c r="DB280" i="3"/>
  <c r="DC280" i="3"/>
  <c r="A281" i="3"/>
  <c r="CX281" i="3"/>
  <c r="CY281" i="3"/>
  <c r="CZ281" i="3"/>
  <c r="DB281" i="3" s="1"/>
  <c r="DA281" i="3"/>
  <c r="DC281" i="3"/>
  <c r="A282" i="3"/>
  <c r="CX282" i="3"/>
  <c r="CY282" i="3"/>
  <c r="CZ282" i="3"/>
  <c r="DB282" i="3" s="1"/>
  <c r="DA282" i="3"/>
  <c r="DC282" i="3"/>
  <c r="A283" i="3"/>
  <c r="CX283" i="3"/>
  <c r="CY283" i="3"/>
  <c r="CZ283" i="3"/>
  <c r="DA283" i="3"/>
  <c r="DB283" i="3"/>
  <c r="DC283" i="3"/>
  <c r="A284" i="3"/>
  <c r="CX284" i="3"/>
  <c r="CY284" i="3"/>
  <c r="CZ284" i="3"/>
  <c r="DA284" i="3"/>
  <c r="DB284" i="3"/>
  <c r="DC284" i="3"/>
  <c r="A285" i="3"/>
  <c r="CX285" i="3"/>
  <c r="CY285" i="3"/>
  <c r="CZ285" i="3"/>
  <c r="DB285" i="3" s="1"/>
  <c r="DA285" i="3"/>
  <c r="DC285" i="3"/>
  <c r="A286" i="3"/>
  <c r="CX286" i="3"/>
  <c r="CY286" i="3"/>
  <c r="CZ286" i="3"/>
  <c r="DB286" i="3" s="1"/>
  <c r="DA286" i="3"/>
  <c r="DC286" i="3"/>
  <c r="A287" i="3"/>
  <c r="CX287" i="3"/>
  <c r="CY287" i="3"/>
  <c r="CZ287" i="3"/>
  <c r="DA287" i="3"/>
  <c r="DB287" i="3"/>
  <c r="DC287" i="3"/>
  <c r="A288" i="3"/>
  <c r="CX288" i="3"/>
  <c r="CY288" i="3"/>
  <c r="CZ288" i="3"/>
  <c r="DA288" i="3"/>
  <c r="DB288" i="3"/>
  <c r="DC288" i="3"/>
  <c r="A289" i="3"/>
  <c r="CY289" i="3"/>
  <c r="CZ289" i="3"/>
  <c r="DB289" i="3" s="1"/>
  <c r="DA289" i="3"/>
  <c r="DC289" i="3"/>
  <c r="A290" i="3"/>
  <c r="CY290" i="3"/>
  <c r="CZ290" i="3"/>
  <c r="DB290" i="3" s="1"/>
  <c r="DA290" i="3"/>
  <c r="DC290" i="3"/>
  <c r="A291" i="3"/>
  <c r="CY291" i="3"/>
  <c r="CZ291" i="3"/>
  <c r="DA291" i="3"/>
  <c r="DB291" i="3"/>
  <c r="DC291" i="3"/>
  <c r="A292" i="3"/>
  <c r="CY292" i="3"/>
  <c r="CZ292" i="3"/>
  <c r="DA292" i="3"/>
  <c r="DB292" i="3"/>
  <c r="DC292" i="3"/>
  <c r="A293" i="3"/>
  <c r="CY293" i="3"/>
  <c r="CZ293" i="3"/>
  <c r="DB293" i="3" s="1"/>
  <c r="DA293" i="3"/>
  <c r="DC293" i="3"/>
  <c r="A294" i="3"/>
  <c r="CY294" i="3"/>
  <c r="CZ294" i="3"/>
  <c r="DB294" i="3" s="1"/>
  <c r="DA294" i="3"/>
  <c r="DC294" i="3"/>
  <c r="A295" i="3"/>
  <c r="CY295" i="3"/>
  <c r="CZ295" i="3"/>
  <c r="DA295" i="3"/>
  <c r="DB295" i="3"/>
  <c r="DC295" i="3"/>
  <c r="A296" i="3"/>
  <c r="CY296" i="3"/>
  <c r="CZ296" i="3"/>
  <c r="DA296" i="3"/>
  <c r="DB296" i="3"/>
  <c r="DC296" i="3"/>
  <c r="A297" i="3"/>
  <c r="CY297" i="3"/>
  <c r="CZ297" i="3"/>
  <c r="DB297" i="3" s="1"/>
  <c r="DA297" i="3"/>
  <c r="DC297" i="3"/>
  <c r="A298" i="3"/>
  <c r="CY298" i="3"/>
  <c r="CZ298" i="3"/>
  <c r="DB298" i="3" s="1"/>
  <c r="DA298" i="3"/>
  <c r="DC298" i="3"/>
  <c r="A299" i="3"/>
  <c r="CY299" i="3"/>
  <c r="CZ299" i="3"/>
  <c r="DA299" i="3"/>
  <c r="DB299" i="3"/>
  <c r="DC299" i="3"/>
  <c r="A300" i="3"/>
  <c r="CY300" i="3"/>
  <c r="CZ300" i="3"/>
  <c r="DA300" i="3"/>
  <c r="DB300" i="3"/>
  <c r="DC300" i="3"/>
  <c r="A301" i="3"/>
  <c r="CY301" i="3"/>
  <c r="CZ301" i="3"/>
  <c r="DB301" i="3" s="1"/>
  <c r="DA301" i="3"/>
  <c r="DC301" i="3"/>
  <c r="A302" i="3"/>
  <c r="CY302" i="3"/>
  <c r="CZ302" i="3"/>
  <c r="DB302" i="3" s="1"/>
  <c r="DA302" i="3"/>
  <c r="DC302" i="3"/>
  <c r="A303" i="3"/>
  <c r="CY303" i="3"/>
  <c r="CZ303" i="3"/>
  <c r="DA303" i="3"/>
  <c r="DB303" i="3"/>
  <c r="DC303" i="3"/>
  <c r="A304" i="3"/>
  <c r="CY304" i="3"/>
  <c r="CZ304" i="3"/>
  <c r="DA304" i="3"/>
  <c r="DB304" i="3"/>
  <c r="DC304" i="3"/>
  <c r="A305" i="3"/>
  <c r="CY305" i="3"/>
  <c r="CZ305" i="3"/>
  <c r="DB305" i="3" s="1"/>
  <c r="DA305" i="3"/>
  <c r="DC305" i="3"/>
  <c r="A306" i="3"/>
  <c r="CX306" i="3"/>
  <c r="CY306" i="3"/>
  <c r="CZ306" i="3"/>
  <c r="DB306" i="3" s="1"/>
  <c r="DA306" i="3"/>
  <c r="DC306" i="3"/>
  <c r="A307" i="3"/>
  <c r="CX307" i="3"/>
  <c r="CY307" i="3"/>
  <c r="CZ307" i="3"/>
  <c r="DA307" i="3"/>
  <c r="DB307" i="3"/>
  <c r="DC307" i="3"/>
  <c r="A308" i="3"/>
  <c r="CX308" i="3"/>
  <c r="CY308" i="3"/>
  <c r="CZ308" i="3"/>
  <c r="DA308" i="3"/>
  <c r="DB308" i="3"/>
  <c r="DC308" i="3"/>
  <c r="A309" i="3"/>
  <c r="CX309" i="3"/>
  <c r="CY309" i="3"/>
  <c r="CZ309" i="3"/>
  <c r="DB309" i="3" s="1"/>
  <c r="DA309" i="3"/>
  <c r="DC309" i="3"/>
  <c r="A310" i="3"/>
  <c r="CX310" i="3"/>
  <c r="CY310" i="3"/>
  <c r="CZ310" i="3"/>
  <c r="DB310" i="3" s="1"/>
  <c r="DA310" i="3"/>
  <c r="DC310" i="3"/>
  <c r="A311" i="3"/>
  <c r="CX311" i="3"/>
  <c r="CY311" i="3"/>
  <c r="CZ311" i="3"/>
  <c r="DA311" i="3"/>
  <c r="DB311" i="3"/>
  <c r="DC311" i="3"/>
  <c r="A312" i="3"/>
  <c r="CX312" i="3"/>
  <c r="CY312" i="3"/>
  <c r="CZ312" i="3"/>
  <c r="DA312" i="3"/>
  <c r="DB312" i="3"/>
  <c r="DC312" i="3"/>
  <c r="A313" i="3"/>
  <c r="CX313" i="3"/>
  <c r="CY313" i="3"/>
  <c r="CZ313" i="3"/>
  <c r="DB313" i="3" s="1"/>
  <c r="DA313" i="3"/>
  <c r="DC313" i="3"/>
  <c r="A314" i="3"/>
  <c r="CX314" i="3"/>
  <c r="CY314" i="3"/>
  <c r="CZ314" i="3"/>
  <c r="DB314" i="3" s="1"/>
  <c r="DA314" i="3"/>
  <c r="DC314" i="3"/>
  <c r="A315" i="3"/>
  <c r="CX315" i="3"/>
  <c r="CY315" i="3"/>
  <c r="CZ315" i="3"/>
  <c r="DA315" i="3"/>
  <c r="DB315" i="3"/>
  <c r="DC315" i="3"/>
  <c r="A316" i="3"/>
  <c r="CX316" i="3"/>
  <c r="CY316" i="3"/>
  <c r="CZ316" i="3"/>
  <c r="DA316" i="3"/>
  <c r="DB316" i="3"/>
  <c r="DC316" i="3"/>
  <c r="A317" i="3"/>
  <c r="CX317" i="3"/>
  <c r="CY317" i="3"/>
  <c r="CZ317" i="3"/>
  <c r="DB317" i="3" s="1"/>
  <c r="DA317" i="3"/>
  <c r="DC317" i="3"/>
  <c r="A318" i="3"/>
  <c r="CX318" i="3"/>
  <c r="CY318" i="3"/>
  <c r="CZ318" i="3"/>
  <c r="DB318" i="3" s="1"/>
  <c r="DA318" i="3"/>
  <c r="DC318" i="3"/>
  <c r="A319" i="3"/>
  <c r="CX319" i="3"/>
  <c r="CY319" i="3"/>
  <c r="CZ319" i="3"/>
  <c r="DA319" i="3"/>
  <c r="DB319" i="3"/>
  <c r="DC319" i="3"/>
  <c r="A320" i="3"/>
  <c r="CX320" i="3"/>
  <c r="CY320" i="3"/>
  <c r="CZ320" i="3"/>
  <c r="DA320" i="3"/>
  <c r="DB320" i="3"/>
  <c r="DC320" i="3"/>
  <c r="A321" i="3"/>
  <c r="CX321" i="3"/>
  <c r="CY321" i="3"/>
  <c r="CZ321" i="3"/>
  <c r="DB321" i="3" s="1"/>
  <c r="DA321" i="3"/>
  <c r="DC321" i="3"/>
  <c r="A322" i="3"/>
  <c r="CX322" i="3"/>
  <c r="CY322" i="3"/>
  <c r="CZ322" i="3"/>
  <c r="DB322" i="3" s="1"/>
  <c r="DA322" i="3"/>
  <c r="DC322" i="3"/>
  <c r="A323" i="3"/>
  <c r="CX323" i="3"/>
  <c r="CY323" i="3"/>
  <c r="CZ323" i="3"/>
  <c r="DA323" i="3"/>
  <c r="DB323" i="3"/>
  <c r="DC323" i="3"/>
  <c r="A324" i="3"/>
  <c r="CX324" i="3"/>
  <c r="CY324" i="3"/>
  <c r="CZ324" i="3"/>
  <c r="DA324" i="3"/>
  <c r="DB324" i="3"/>
  <c r="DC324" i="3"/>
  <c r="A325" i="3"/>
  <c r="CX325" i="3"/>
  <c r="CY325" i="3"/>
  <c r="CZ325" i="3"/>
  <c r="DB325" i="3" s="1"/>
  <c r="DA325" i="3"/>
  <c r="DC325" i="3"/>
  <c r="A326" i="3"/>
  <c r="CY326" i="3"/>
  <c r="CZ326" i="3"/>
  <c r="DB326" i="3" s="1"/>
  <c r="DA326" i="3"/>
  <c r="DC326" i="3"/>
  <c r="A327" i="3"/>
  <c r="CY327" i="3"/>
  <c r="CZ327" i="3"/>
  <c r="DA327" i="3"/>
  <c r="DB327" i="3"/>
  <c r="DC327" i="3"/>
  <c r="A328" i="3"/>
  <c r="CY328" i="3"/>
  <c r="CZ328" i="3"/>
  <c r="DA328" i="3"/>
  <c r="DB328" i="3"/>
  <c r="DC328" i="3"/>
  <c r="A329" i="3"/>
  <c r="CY329" i="3"/>
  <c r="CZ329" i="3"/>
  <c r="DB329" i="3" s="1"/>
  <c r="DA329" i="3"/>
  <c r="DC329" i="3"/>
  <c r="A330" i="3"/>
  <c r="CY330" i="3"/>
  <c r="CZ330" i="3"/>
  <c r="DB330" i="3" s="1"/>
  <c r="DA330" i="3"/>
  <c r="DC330" i="3"/>
  <c r="A331" i="3"/>
  <c r="CY331" i="3"/>
  <c r="CZ331" i="3"/>
  <c r="DA331" i="3"/>
  <c r="DB331" i="3"/>
  <c r="DC331" i="3"/>
  <c r="A332" i="3"/>
  <c r="CY332" i="3"/>
  <c r="CZ332" i="3"/>
  <c r="DA332" i="3"/>
  <c r="DB332" i="3"/>
  <c r="DC332" i="3"/>
  <c r="A333" i="3"/>
  <c r="CY333" i="3"/>
  <c r="CZ333" i="3"/>
  <c r="DB333" i="3" s="1"/>
  <c r="DA333" i="3"/>
  <c r="DC333" i="3"/>
  <c r="A334" i="3"/>
  <c r="CY334" i="3"/>
  <c r="CZ334" i="3"/>
  <c r="DB334" i="3" s="1"/>
  <c r="DA334" i="3"/>
  <c r="DC334" i="3"/>
  <c r="A335" i="3"/>
  <c r="CY335" i="3"/>
  <c r="CZ335" i="3"/>
  <c r="DA335" i="3"/>
  <c r="DB335" i="3"/>
  <c r="DC335" i="3"/>
  <c r="A336" i="3"/>
  <c r="CY336" i="3"/>
  <c r="CZ336" i="3"/>
  <c r="DA336" i="3"/>
  <c r="DB336" i="3"/>
  <c r="DC336" i="3"/>
  <c r="A337" i="3"/>
  <c r="CY337" i="3"/>
  <c r="CZ337" i="3"/>
  <c r="DB337" i="3" s="1"/>
  <c r="DA337" i="3"/>
  <c r="DC337" i="3"/>
  <c r="A338" i="3"/>
  <c r="CY338" i="3"/>
  <c r="CZ338" i="3"/>
  <c r="DB338" i="3" s="1"/>
  <c r="DA338" i="3"/>
  <c r="DC338" i="3"/>
  <c r="A339" i="3"/>
  <c r="CY339" i="3"/>
  <c r="CZ339" i="3"/>
  <c r="DA339" i="3"/>
  <c r="DB339" i="3"/>
  <c r="DC339" i="3"/>
  <c r="A340" i="3"/>
  <c r="CY340" i="3"/>
  <c r="CZ340" i="3"/>
  <c r="DA340" i="3"/>
  <c r="DB340" i="3"/>
  <c r="DC340" i="3"/>
  <c r="A341" i="3"/>
  <c r="CY341" i="3"/>
  <c r="CZ341" i="3"/>
  <c r="DB341" i="3" s="1"/>
  <c r="DA341" i="3"/>
  <c r="DC341" i="3"/>
  <c r="A342" i="3"/>
  <c r="CY342" i="3"/>
  <c r="CZ342" i="3"/>
  <c r="DB342" i="3" s="1"/>
  <c r="DA342" i="3"/>
  <c r="DC342" i="3"/>
  <c r="A343" i="3"/>
  <c r="CY343" i="3"/>
  <c r="CZ343" i="3"/>
  <c r="DA343" i="3"/>
  <c r="DB343" i="3"/>
  <c r="DC343" i="3"/>
  <c r="A344" i="3"/>
  <c r="CY344" i="3"/>
  <c r="CZ344" i="3"/>
  <c r="DA344" i="3"/>
  <c r="DB344" i="3"/>
  <c r="DC344" i="3"/>
  <c r="A345" i="3"/>
  <c r="CX345" i="3"/>
  <c r="CY345" i="3"/>
  <c r="CZ345" i="3"/>
  <c r="DB345" i="3" s="1"/>
  <c r="DA345" i="3"/>
  <c r="DC345" i="3"/>
  <c r="A346" i="3"/>
  <c r="CX346" i="3"/>
  <c r="CY346" i="3"/>
  <c r="CZ346" i="3"/>
  <c r="DB346" i="3" s="1"/>
  <c r="DA346" i="3"/>
  <c r="DC346" i="3"/>
  <c r="A347" i="3"/>
  <c r="CX347" i="3"/>
  <c r="CY347" i="3"/>
  <c r="CZ347" i="3"/>
  <c r="DA347" i="3"/>
  <c r="DB347" i="3"/>
  <c r="DC347" i="3"/>
  <c r="A348" i="3"/>
  <c r="CX348" i="3"/>
  <c r="CY348" i="3"/>
  <c r="CZ348" i="3"/>
  <c r="DA348" i="3"/>
  <c r="DB348" i="3"/>
  <c r="DC348" i="3"/>
  <c r="A349" i="3"/>
  <c r="CX349" i="3"/>
  <c r="CY349" i="3"/>
  <c r="CZ349" i="3"/>
  <c r="DB349" i="3" s="1"/>
  <c r="DA349" i="3"/>
  <c r="DC349" i="3"/>
  <c r="A350" i="3"/>
  <c r="CX350" i="3"/>
  <c r="CY350" i="3"/>
  <c r="CZ350" i="3"/>
  <c r="DB350" i="3" s="1"/>
  <c r="DA350" i="3"/>
  <c r="DC350" i="3"/>
  <c r="A351" i="3"/>
  <c r="CX351" i="3"/>
  <c r="CY351" i="3"/>
  <c r="CZ351" i="3"/>
  <c r="DA351" i="3"/>
  <c r="DB351" i="3"/>
  <c r="DC351" i="3"/>
  <c r="A352" i="3"/>
  <c r="CX352" i="3"/>
  <c r="CY352" i="3"/>
  <c r="CZ352" i="3"/>
  <c r="DA352" i="3"/>
  <c r="DB352" i="3"/>
  <c r="DC352" i="3"/>
  <c r="A353" i="3"/>
  <c r="CX353" i="3"/>
  <c r="CY353" i="3"/>
  <c r="CZ353" i="3"/>
  <c r="DB353" i="3" s="1"/>
  <c r="DA353" i="3"/>
  <c r="DC353" i="3"/>
  <c r="A354" i="3"/>
  <c r="CY354" i="3"/>
  <c r="CZ354" i="3"/>
  <c r="DB354" i="3" s="1"/>
  <c r="DA354" i="3"/>
  <c r="DC354" i="3"/>
  <c r="A355" i="3"/>
  <c r="CY355" i="3"/>
  <c r="CZ355" i="3"/>
  <c r="DA355" i="3"/>
  <c r="DB355" i="3"/>
  <c r="DC355" i="3"/>
  <c r="A356" i="3"/>
  <c r="CY356" i="3"/>
  <c r="CZ356" i="3"/>
  <c r="DA356" i="3"/>
  <c r="DB356" i="3"/>
  <c r="DC356" i="3"/>
  <c r="A357" i="3"/>
  <c r="CY357" i="3"/>
  <c r="CZ357" i="3"/>
  <c r="DB357" i="3" s="1"/>
  <c r="DA357" i="3"/>
  <c r="DC357" i="3"/>
  <c r="A358" i="3"/>
  <c r="CY358" i="3"/>
  <c r="CZ358" i="3"/>
  <c r="DB358" i="3" s="1"/>
  <c r="DA358" i="3"/>
  <c r="DC358" i="3"/>
  <c r="A359" i="3"/>
  <c r="CY359" i="3"/>
  <c r="CZ359" i="3"/>
  <c r="DA359" i="3"/>
  <c r="DB359" i="3"/>
  <c r="DC359" i="3"/>
  <c r="A360" i="3"/>
  <c r="CY360" i="3"/>
  <c r="CZ360" i="3"/>
  <c r="DA360" i="3"/>
  <c r="DB360" i="3"/>
  <c r="DC360" i="3"/>
  <c r="A361" i="3"/>
  <c r="CY361" i="3"/>
  <c r="CZ361" i="3"/>
  <c r="DB361" i="3" s="1"/>
  <c r="DA361" i="3"/>
  <c r="DC361" i="3"/>
  <c r="A362" i="3"/>
  <c r="CY362" i="3"/>
  <c r="CZ362" i="3"/>
  <c r="DB362" i="3" s="1"/>
  <c r="DA362" i="3"/>
  <c r="DC362" i="3"/>
  <c r="A363" i="3"/>
  <c r="CY363" i="3"/>
  <c r="CZ363" i="3"/>
  <c r="DA363" i="3"/>
  <c r="DB363" i="3"/>
  <c r="DC363" i="3"/>
  <c r="A364" i="3"/>
  <c r="CY364" i="3"/>
  <c r="CZ364" i="3"/>
  <c r="DA364" i="3"/>
  <c r="DB364" i="3"/>
  <c r="DC364" i="3"/>
  <c r="A365" i="3"/>
  <c r="CX365" i="3"/>
  <c r="CY365" i="3"/>
  <c r="CZ365" i="3"/>
  <c r="DB365" i="3" s="1"/>
  <c r="DA365" i="3"/>
  <c r="DC365" i="3"/>
  <c r="A366" i="3"/>
  <c r="CX366" i="3"/>
  <c r="CY366" i="3"/>
  <c r="CZ366" i="3"/>
  <c r="DB366" i="3" s="1"/>
  <c r="DA366" i="3"/>
  <c r="DC366" i="3"/>
  <c r="A367" i="3"/>
  <c r="CX367" i="3"/>
  <c r="CY367" i="3"/>
  <c r="CZ367" i="3"/>
  <c r="DA367" i="3"/>
  <c r="DB367" i="3"/>
  <c r="DC367" i="3"/>
  <c r="A368" i="3"/>
  <c r="CX368" i="3"/>
  <c r="CY368" i="3"/>
  <c r="CZ368" i="3"/>
  <c r="DA368" i="3"/>
  <c r="DB368" i="3"/>
  <c r="DC368" i="3"/>
  <c r="A369" i="3"/>
  <c r="CX369" i="3"/>
  <c r="CY369" i="3"/>
  <c r="CZ369" i="3"/>
  <c r="DB369" i="3" s="1"/>
  <c r="DA369" i="3"/>
  <c r="DC369" i="3"/>
  <c r="A370" i="3"/>
  <c r="CX370" i="3"/>
  <c r="CY370" i="3"/>
  <c r="CZ370" i="3"/>
  <c r="DB370" i="3" s="1"/>
  <c r="DA370" i="3"/>
  <c r="DC370" i="3"/>
  <c r="A371" i="3"/>
  <c r="CY371" i="3"/>
  <c r="CZ371" i="3"/>
  <c r="DA371" i="3"/>
  <c r="DB371" i="3"/>
  <c r="DC371" i="3"/>
  <c r="A372" i="3"/>
  <c r="CY372" i="3"/>
  <c r="CZ372" i="3"/>
  <c r="DA372" i="3"/>
  <c r="DB372" i="3"/>
  <c r="DC372" i="3"/>
  <c r="A373" i="3"/>
  <c r="CY373" i="3"/>
  <c r="CZ373" i="3"/>
  <c r="DB373" i="3" s="1"/>
  <c r="DA373" i="3"/>
  <c r="DC373" i="3"/>
  <c r="A374" i="3"/>
  <c r="CY374" i="3"/>
  <c r="CZ374" i="3"/>
  <c r="DB374" i="3" s="1"/>
  <c r="DA374" i="3"/>
  <c r="DC374" i="3"/>
  <c r="A375" i="3"/>
  <c r="CY375" i="3"/>
  <c r="CZ375" i="3"/>
  <c r="DA375" i="3"/>
  <c r="DB375" i="3"/>
  <c r="DC375" i="3"/>
  <c r="A376" i="3"/>
  <c r="CY376" i="3"/>
  <c r="CZ376" i="3"/>
  <c r="DA376" i="3"/>
  <c r="DB376" i="3"/>
  <c r="DC376" i="3"/>
  <c r="A377" i="3"/>
  <c r="CY377" i="3"/>
  <c r="CZ377" i="3"/>
  <c r="DB377" i="3" s="1"/>
  <c r="DA377" i="3"/>
  <c r="DC377" i="3"/>
  <c r="A378" i="3"/>
  <c r="CY378" i="3"/>
  <c r="CZ378" i="3"/>
  <c r="DB378" i="3" s="1"/>
  <c r="DA378" i="3"/>
  <c r="DC378" i="3"/>
  <c r="A379" i="3"/>
  <c r="CY379" i="3"/>
  <c r="CZ379" i="3"/>
  <c r="DA379" i="3"/>
  <c r="DB379" i="3"/>
  <c r="DC379" i="3"/>
  <c r="A380" i="3"/>
  <c r="CY380" i="3"/>
  <c r="CZ380" i="3"/>
  <c r="DA380" i="3"/>
  <c r="DB380" i="3"/>
  <c r="DC380" i="3"/>
  <c r="A381" i="3"/>
  <c r="CY381" i="3"/>
  <c r="CZ381" i="3"/>
  <c r="DB381" i="3" s="1"/>
  <c r="DA381" i="3"/>
  <c r="DC381" i="3"/>
  <c r="A382" i="3"/>
  <c r="CX382" i="3"/>
  <c r="CY382" i="3"/>
  <c r="CZ382" i="3"/>
  <c r="DB382" i="3" s="1"/>
  <c r="DA382" i="3"/>
  <c r="DC382" i="3"/>
  <c r="A383" i="3"/>
  <c r="CX383" i="3"/>
  <c r="CY383" i="3"/>
  <c r="CZ383" i="3"/>
  <c r="DA383" i="3"/>
  <c r="DB383" i="3"/>
  <c r="DC383" i="3"/>
  <c r="A384" i="3"/>
  <c r="CX384" i="3"/>
  <c r="CY384" i="3"/>
  <c r="CZ384" i="3"/>
  <c r="DA384" i="3"/>
  <c r="DB384" i="3"/>
  <c r="DC384" i="3"/>
  <c r="A385" i="3"/>
  <c r="CX385" i="3"/>
  <c r="CY385" i="3"/>
  <c r="CZ385" i="3"/>
  <c r="DB385" i="3" s="1"/>
  <c r="DA385" i="3"/>
  <c r="DC385" i="3"/>
  <c r="A386" i="3"/>
  <c r="CX386" i="3"/>
  <c r="CY386" i="3"/>
  <c r="CZ386" i="3"/>
  <c r="DB386" i="3" s="1"/>
  <c r="DA386" i="3"/>
  <c r="DC386" i="3"/>
  <c r="A387" i="3"/>
  <c r="CX387" i="3"/>
  <c r="CY387" i="3"/>
  <c r="CZ387" i="3"/>
  <c r="DA387" i="3"/>
  <c r="DB387" i="3"/>
  <c r="DC387" i="3"/>
  <c r="A388" i="3"/>
  <c r="CX388" i="3"/>
  <c r="CY388" i="3"/>
  <c r="CZ388" i="3"/>
  <c r="DA388" i="3"/>
  <c r="DB388" i="3"/>
  <c r="DC388" i="3"/>
  <c r="A389" i="3"/>
  <c r="CX389" i="3"/>
  <c r="CY389" i="3"/>
  <c r="CZ389" i="3"/>
  <c r="DB389" i="3" s="1"/>
  <c r="DA389" i="3"/>
  <c r="DC389" i="3"/>
  <c r="A390" i="3"/>
  <c r="CX390" i="3"/>
  <c r="CY390" i="3"/>
  <c r="CZ390" i="3"/>
  <c r="DB390" i="3" s="1"/>
  <c r="DA390" i="3"/>
  <c r="DC390" i="3"/>
  <c r="A391" i="3"/>
  <c r="CX391" i="3"/>
  <c r="CY391" i="3"/>
  <c r="CZ391" i="3"/>
  <c r="DA391" i="3"/>
  <c r="DB391" i="3"/>
  <c r="DC391" i="3"/>
  <c r="A392" i="3"/>
  <c r="CX392" i="3"/>
  <c r="CY392" i="3"/>
  <c r="CZ392" i="3"/>
  <c r="DA392" i="3"/>
  <c r="DB392" i="3"/>
  <c r="DC392" i="3"/>
  <c r="D12" i="1"/>
  <c r="E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D20" i="1"/>
  <c r="E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D24" i="1"/>
  <c r="E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D28" i="1"/>
  <c r="E30" i="1"/>
  <c r="Z30" i="1"/>
  <c r="AA30" i="1"/>
  <c r="AM30" i="1"/>
  <c r="AN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C32" i="1"/>
  <c r="D32" i="1"/>
  <c r="I32" i="1"/>
  <c r="AC32" i="1"/>
  <c r="AE32" i="1"/>
  <c r="AD32" i="1" s="1"/>
  <c r="AF32" i="1"/>
  <c r="AG32" i="1"/>
  <c r="CU32" i="1" s="1"/>
  <c r="T32" i="1" s="1"/>
  <c r="AH32" i="1"/>
  <c r="AI32" i="1"/>
  <c r="AJ32" i="1"/>
  <c r="CR32" i="1"/>
  <c r="Q32" i="1" s="1"/>
  <c r="CS32" i="1"/>
  <c r="R32" i="1" s="1"/>
  <c r="CT32" i="1"/>
  <c r="S32" i="1" s="1"/>
  <c r="CV32" i="1"/>
  <c r="U32" i="1" s="1"/>
  <c r="CW32" i="1"/>
  <c r="V32" i="1" s="1"/>
  <c r="CX32" i="1"/>
  <c r="W32" i="1" s="1"/>
  <c r="FR32" i="1"/>
  <c r="GL32" i="1"/>
  <c r="GN32" i="1"/>
  <c r="GO32" i="1"/>
  <c r="GV32" i="1"/>
  <c r="GX32" i="1"/>
  <c r="HC32" i="1"/>
  <c r="C33" i="1"/>
  <c r="D33" i="1"/>
  <c r="I33" i="1"/>
  <c r="CX9" i="3" s="1"/>
  <c r="AC33" i="1"/>
  <c r="AD33" i="1"/>
  <c r="AE33" i="1"/>
  <c r="AF33" i="1"/>
  <c r="AB33" i="1" s="1"/>
  <c r="AG33" i="1"/>
  <c r="AH33" i="1"/>
  <c r="CV33" i="1" s="1"/>
  <c r="U33" i="1" s="1"/>
  <c r="AI33" i="1"/>
  <c r="AJ33" i="1"/>
  <c r="CX33" i="1" s="1"/>
  <c r="W33" i="1" s="1"/>
  <c r="CQ33" i="1"/>
  <c r="P33" i="1" s="1"/>
  <c r="CR33" i="1"/>
  <c r="Q33" i="1" s="1"/>
  <c r="CS33" i="1"/>
  <c r="R33" i="1" s="1"/>
  <c r="GK33" i="1" s="1"/>
  <c r="CU33" i="1"/>
  <c r="T33" i="1" s="1"/>
  <c r="CW33" i="1"/>
  <c r="V33" i="1" s="1"/>
  <c r="FR33" i="1"/>
  <c r="GL33" i="1"/>
  <c r="GN33" i="1"/>
  <c r="GO33" i="1"/>
  <c r="GV33" i="1"/>
  <c r="GX33" i="1"/>
  <c r="HC33" i="1"/>
  <c r="C34" i="1"/>
  <c r="D34" i="1"/>
  <c r="AC34" i="1"/>
  <c r="AE34" i="1"/>
  <c r="CS34" i="1" s="1"/>
  <c r="R34" i="1" s="1"/>
  <c r="GK34" i="1" s="1"/>
  <c r="AF34" i="1"/>
  <c r="AG34" i="1"/>
  <c r="CU34" i="1" s="1"/>
  <c r="T34" i="1" s="1"/>
  <c r="AH34" i="1"/>
  <c r="AI34" i="1"/>
  <c r="CW34" i="1" s="1"/>
  <c r="V34" i="1" s="1"/>
  <c r="AJ34" i="1"/>
  <c r="CR34" i="1"/>
  <c r="Q34" i="1" s="1"/>
  <c r="CT34" i="1"/>
  <c r="S34" i="1" s="1"/>
  <c r="CV34" i="1"/>
  <c r="U34" i="1" s="1"/>
  <c r="CX34" i="1"/>
  <c r="W34" i="1" s="1"/>
  <c r="FR34" i="1"/>
  <c r="GL34" i="1"/>
  <c r="GN34" i="1"/>
  <c r="GO34" i="1"/>
  <c r="GV34" i="1"/>
  <c r="HC34" i="1" s="1"/>
  <c r="GX34" i="1" s="1"/>
  <c r="C36" i="1"/>
  <c r="D36" i="1"/>
  <c r="I36" i="1"/>
  <c r="AC36" i="1"/>
  <c r="AE36" i="1"/>
  <c r="CS36" i="1" s="1"/>
  <c r="R36" i="1" s="1"/>
  <c r="GK36" i="1" s="1"/>
  <c r="AF36" i="1"/>
  <c r="AG36" i="1"/>
  <c r="CU36" i="1" s="1"/>
  <c r="T36" i="1" s="1"/>
  <c r="AH36" i="1"/>
  <c r="AI36" i="1"/>
  <c r="CW36" i="1" s="1"/>
  <c r="V36" i="1" s="1"/>
  <c r="AJ36" i="1"/>
  <c r="CR36" i="1"/>
  <c r="Q36" i="1" s="1"/>
  <c r="CT36" i="1"/>
  <c r="S36" i="1" s="1"/>
  <c r="CV36" i="1"/>
  <c r="U36" i="1" s="1"/>
  <c r="CX36" i="1"/>
  <c r="W36" i="1" s="1"/>
  <c r="FR36" i="1"/>
  <c r="GL36" i="1"/>
  <c r="GN36" i="1"/>
  <c r="GO36" i="1"/>
  <c r="GV36" i="1"/>
  <c r="HC36" i="1" s="1"/>
  <c r="GX36" i="1" s="1"/>
  <c r="C37" i="1"/>
  <c r="D37" i="1"/>
  <c r="I37" i="1"/>
  <c r="AC37" i="1"/>
  <c r="AE37" i="1"/>
  <c r="CS37" i="1" s="1"/>
  <c r="R37" i="1" s="1"/>
  <c r="GK37" i="1" s="1"/>
  <c r="AF37" i="1"/>
  <c r="AG37" i="1"/>
  <c r="CU37" i="1" s="1"/>
  <c r="T37" i="1" s="1"/>
  <c r="AH37" i="1"/>
  <c r="AI37" i="1"/>
  <c r="CW37" i="1" s="1"/>
  <c r="V37" i="1" s="1"/>
  <c r="AJ37" i="1"/>
  <c r="CR37" i="1"/>
  <c r="Q37" i="1" s="1"/>
  <c r="CT37" i="1"/>
  <c r="S37" i="1" s="1"/>
  <c r="CV37" i="1"/>
  <c r="U37" i="1" s="1"/>
  <c r="CX37" i="1"/>
  <c r="W37" i="1" s="1"/>
  <c r="FR37" i="1"/>
  <c r="GL37" i="1"/>
  <c r="GN37" i="1"/>
  <c r="GO37" i="1"/>
  <c r="GV37" i="1"/>
  <c r="HC37" i="1" s="1"/>
  <c r="GX37" i="1" s="1"/>
  <c r="C38" i="1"/>
  <c r="D38" i="1"/>
  <c r="I38" i="1"/>
  <c r="AC38" i="1"/>
  <c r="AE38" i="1"/>
  <c r="CS38" i="1" s="1"/>
  <c r="R38" i="1" s="1"/>
  <c r="GK38" i="1" s="1"/>
  <c r="AF38" i="1"/>
  <c r="AG38" i="1"/>
  <c r="CU38" i="1" s="1"/>
  <c r="T38" i="1" s="1"/>
  <c r="AH38" i="1"/>
  <c r="AI38" i="1"/>
  <c r="CW38" i="1" s="1"/>
  <c r="V38" i="1" s="1"/>
  <c r="AJ38" i="1"/>
  <c r="CR38" i="1"/>
  <c r="Q38" i="1" s="1"/>
  <c r="CT38" i="1"/>
  <c r="S38" i="1" s="1"/>
  <c r="CV38" i="1"/>
  <c r="U38" i="1" s="1"/>
  <c r="CX38" i="1"/>
  <c r="W38" i="1" s="1"/>
  <c r="FR38" i="1"/>
  <c r="GL38" i="1"/>
  <c r="GN38" i="1"/>
  <c r="GO38" i="1"/>
  <c r="GV38" i="1"/>
  <c r="HC38" i="1" s="1"/>
  <c r="GX38" i="1" s="1"/>
  <c r="B40" i="1"/>
  <c r="B30" i="1" s="1"/>
  <c r="C40" i="1"/>
  <c r="C30" i="1" s="1"/>
  <c r="D40" i="1"/>
  <c r="D30" i="1" s="1"/>
  <c r="F40" i="1"/>
  <c r="F30" i="1" s="1"/>
  <c r="G40" i="1"/>
  <c r="G30" i="1" s="1"/>
  <c r="BX40" i="1"/>
  <c r="BX30" i="1" s="1"/>
  <c r="BY40" i="1"/>
  <c r="CI40" i="1" s="1"/>
  <c r="BZ40" i="1"/>
  <c r="BZ30" i="1" s="1"/>
  <c r="CB40" i="1"/>
  <c r="CB30" i="1" s="1"/>
  <c r="CC40" i="1"/>
  <c r="CC30" i="1" s="1"/>
  <c r="CG40" i="1"/>
  <c r="CG30" i="1" s="1"/>
  <c r="CK40" i="1"/>
  <c r="CK30" i="1" s="1"/>
  <c r="CL40" i="1"/>
  <c r="CL30" i="1" s="1"/>
  <c r="CM40" i="1"/>
  <c r="BD40" i="1" s="1"/>
  <c r="D70" i="1"/>
  <c r="E72" i="1"/>
  <c r="Z72" i="1"/>
  <c r="AA72" i="1"/>
  <c r="AM72" i="1"/>
  <c r="AN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GU72" i="1"/>
  <c r="GV72" i="1"/>
  <c r="GW72" i="1"/>
  <c r="GX72" i="1"/>
  <c r="C74" i="1"/>
  <c r="D74" i="1"/>
  <c r="I74" i="1"/>
  <c r="CX20" i="3" s="1"/>
  <c r="AC74" i="1"/>
  <c r="AD74" i="1"/>
  <c r="AE74" i="1"/>
  <c r="AF74" i="1"/>
  <c r="AB74" i="1" s="1"/>
  <c r="AG74" i="1"/>
  <c r="AH74" i="1"/>
  <c r="AI74" i="1"/>
  <c r="AJ74" i="1"/>
  <c r="CX74" i="1" s="1"/>
  <c r="W74" i="1" s="1"/>
  <c r="CQ74" i="1"/>
  <c r="P74" i="1" s="1"/>
  <c r="CR74" i="1"/>
  <c r="Q74" i="1" s="1"/>
  <c r="CS74" i="1"/>
  <c r="R74" i="1" s="1"/>
  <c r="GK74" i="1" s="1"/>
  <c r="CU74" i="1"/>
  <c r="T74" i="1" s="1"/>
  <c r="CV74" i="1"/>
  <c r="U74" i="1" s="1"/>
  <c r="CW74" i="1"/>
  <c r="V74" i="1" s="1"/>
  <c r="FR74" i="1"/>
  <c r="GL74" i="1"/>
  <c r="GN74" i="1"/>
  <c r="GO74" i="1"/>
  <c r="GV74" i="1"/>
  <c r="GX74" i="1"/>
  <c r="HC74" i="1"/>
  <c r="C75" i="1"/>
  <c r="D75" i="1"/>
  <c r="I75" i="1"/>
  <c r="AC75" i="1"/>
  <c r="AD75" i="1"/>
  <c r="AE75" i="1"/>
  <c r="AF75" i="1"/>
  <c r="AB75" i="1" s="1"/>
  <c r="AG75" i="1"/>
  <c r="AH75" i="1"/>
  <c r="CV75" i="1" s="1"/>
  <c r="U75" i="1" s="1"/>
  <c r="AI75" i="1"/>
  <c r="AJ75" i="1"/>
  <c r="CX75" i="1" s="1"/>
  <c r="W75" i="1" s="1"/>
  <c r="CQ75" i="1"/>
  <c r="P75" i="1" s="1"/>
  <c r="CR75" i="1"/>
  <c r="Q75" i="1" s="1"/>
  <c r="CS75" i="1"/>
  <c r="R75" i="1" s="1"/>
  <c r="GK75" i="1" s="1"/>
  <c r="CU75" i="1"/>
  <c r="T75" i="1" s="1"/>
  <c r="CW75" i="1"/>
  <c r="V75" i="1" s="1"/>
  <c r="FR75" i="1"/>
  <c r="GL75" i="1"/>
  <c r="GN75" i="1"/>
  <c r="GO75" i="1"/>
  <c r="GV75" i="1"/>
  <c r="HC75" i="1" s="1"/>
  <c r="GX75" i="1" s="1"/>
  <c r="C76" i="1"/>
  <c r="D76" i="1"/>
  <c r="AC76" i="1"/>
  <c r="AE76" i="1"/>
  <c r="CS76" i="1" s="1"/>
  <c r="R76" i="1" s="1"/>
  <c r="GK76" i="1" s="1"/>
  <c r="AF76" i="1"/>
  <c r="AG76" i="1"/>
  <c r="CU76" i="1" s="1"/>
  <c r="T76" i="1" s="1"/>
  <c r="AH76" i="1"/>
  <c r="AI76" i="1"/>
  <c r="CW76" i="1" s="1"/>
  <c r="V76" i="1" s="1"/>
  <c r="AJ76" i="1"/>
  <c r="CR76" i="1"/>
  <c r="Q76" i="1" s="1"/>
  <c r="CT76" i="1"/>
  <c r="S76" i="1" s="1"/>
  <c r="CV76" i="1"/>
  <c r="U76" i="1" s="1"/>
  <c r="CX76" i="1"/>
  <c r="W76" i="1" s="1"/>
  <c r="FR76" i="1"/>
  <c r="GL76" i="1"/>
  <c r="GN76" i="1"/>
  <c r="GO76" i="1"/>
  <c r="GV76" i="1"/>
  <c r="HC76" i="1"/>
  <c r="GX76" i="1" s="1"/>
  <c r="C77" i="1"/>
  <c r="D77" i="1"/>
  <c r="AC77" i="1"/>
  <c r="AB77" i="1" s="1"/>
  <c r="AD77" i="1"/>
  <c r="AE77" i="1"/>
  <c r="AF77" i="1"/>
  <c r="AG77" i="1"/>
  <c r="AH77" i="1"/>
  <c r="CV77" i="1" s="1"/>
  <c r="U77" i="1" s="1"/>
  <c r="AI77" i="1"/>
  <c r="AJ77" i="1"/>
  <c r="CQ77" i="1"/>
  <c r="P77" i="1" s="1"/>
  <c r="CR77" i="1"/>
  <c r="Q77" i="1" s="1"/>
  <c r="CS77" i="1"/>
  <c r="R77" i="1" s="1"/>
  <c r="GK77" i="1" s="1"/>
  <c r="CT77" i="1"/>
  <c r="S77" i="1" s="1"/>
  <c r="CU77" i="1"/>
  <c r="T77" i="1" s="1"/>
  <c r="CW77" i="1"/>
  <c r="V77" i="1" s="1"/>
  <c r="CX77" i="1"/>
  <c r="W77" i="1" s="1"/>
  <c r="FR77" i="1"/>
  <c r="GL77" i="1"/>
  <c r="GN77" i="1"/>
  <c r="GO77" i="1"/>
  <c r="GV77" i="1"/>
  <c r="HC77" i="1"/>
  <c r="GX77" i="1" s="1"/>
  <c r="I78" i="1"/>
  <c r="AC78" i="1"/>
  <c r="AE78" i="1"/>
  <c r="AD78" i="1" s="1"/>
  <c r="AB78" i="1" s="1"/>
  <c r="AF78" i="1"/>
  <c r="CT78" i="1" s="1"/>
  <c r="S78" i="1" s="1"/>
  <c r="AG78" i="1"/>
  <c r="AH78" i="1"/>
  <c r="AI78" i="1"/>
  <c r="AJ78" i="1"/>
  <c r="CX78" i="1" s="1"/>
  <c r="W78" i="1" s="1"/>
  <c r="CQ78" i="1"/>
  <c r="P78" i="1" s="1"/>
  <c r="CR78" i="1"/>
  <c r="Q78" i="1" s="1"/>
  <c r="CS78" i="1"/>
  <c r="R78" i="1" s="1"/>
  <c r="GK78" i="1" s="1"/>
  <c r="CU78" i="1"/>
  <c r="T78" i="1" s="1"/>
  <c r="CV78" i="1"/>
  <c r="U78" i="1" s="1"/>
  <c r="CW78" i="1"/>
  <c r="V78" i="1" s="1"/>
  <c r="FR78" i="1"/>
  <c r="GL78" i="1"/>
  <c r="GN78" i="1"/>
  <c r="GO78" i="1"/>
  <c r="GV78" i="1"/>
  <c r="HC78" i="1" s="1"/>
  <c r="GX78" i="1" s="1"/>
  <c r="C79" i="1"/>
  <c r="D79" i="1"/>
  <c r="AC79" i="1"/>
  <c r="AE79" i="1"/>
  <c r="AD79" i="1" s="1"/>
  <c r="AF79" i="1"/>
  <c r="AG79" i="1"/>
  <c r="CU79" i="1" s="1"/>
  <c r="T79" i="1" s="1"/>
  <c r="AH79" i="1"/>
  <c r="AI79" i="1"/>
  <c r="AJ79" i="1"/>
  <c r="CR79" i="1"/>
  <c r="Q79" i="1" s="1"/>
  <c r="CS79" i="1"/>
  <c r="R79" i="1" s="1"/>
  <c r="GK79" i="1" s="1"/>
  <c r="CT79" i="1"/>
  <c r="S79" i="1" s="1"/>
  <c r="CV79" i="1"/>
  <c r="U79" i="1" s="1"/>
  <c r="CW79" i="1"/>
  <c r="V79" i="1" s="1"/>
  <c r="CX79" i="1"/>
  <c r="W79" i="1" s="1"/>
  <c r="FR79" i="1"/>
  <c r="GL79" i="1"/>
  <c r="GN79" i="1"/>
  <c r="GO79" i="1"/>
  <c r="GV79" i="1"/>
  <c r="HC79" i="1"/>
  <c r="GX79" i="1" s="1"/>
  <c r="C80" i="1"/>
  <c r="D80" i="1"/>
  <c r="I80" i="1"/>
  <c r="AC80" i="1"/>
  <c r="AE80" i="1"/>
  <c r="AD80" i="1" s="1"/>
  <c r="AF80" i="1"/>
  <c r="AG80" i="1"/>
  <c r="CU80" i="1" s="1"/>
  <c r="T80" i="1" s="1"/>
  <c r="AH80" i="1"/>
  <c r="AI80" i="1"/>
  <c r="AJ80" i="1"/>
  <c r="CR80" i="1"/>
  <c r="Q80" i="1" s="1"/>
  <c r="CS80" i="1"/>
  <c r="R80" i="1" s="1"/>
  <c r="GK80" i="1" s="1"/>
  <c r="CT80" i="1"/>
  <c r="S80" i="1" s="1"/>
  <c r="CV80" i="1"/>
  <c r="U80" i="1" s="1"/>
  <c r="CW80" i="1"/>
  <c r="V80" i="1" s="1"/>
  <c r="CX80" i="1"/>
  <c r="W80" i="1" s="1"/>
  <c r="FR80" i="1"/>
  <c r="GL80" i="1"/>
  <c r="GN80" i="1"/>
  <c r="GO80" i="1"/>
  <c r="GV80" i="1"/>
  <c r="HC80" i="1"/>
  <c r="GX80" i="1" s="1"/>
  <c r="C81" i="1"/>
  <c r="D81" i="1"/>
  <c r="I81" i="1"/>
  <c r="W81" i="1"/>
  <c r="AC81" i="1"/>
  <c r="AE81" i="1"/>
  <c r="AD81" i="1" s="1"/>
  <c r="AF81" i="1"/>
  <c r="AG81" i="1"/>
  <c r="CU81" i="1" s="1"/>
  <c r="T81" i="1" s="1"/>
  <c r="AH81" i="1"/>
  <c r="AI81" i="1"/>
  <c r="AJ81" i="1"/>
  <c r="CR81" i="1"/>
  <c r="Q81" i="1" s="1"/>
  <c r="CS81" i="1"/>
  <c r="R81" i="1" s="1"/>
  <c r="CT81" i="1"/>
  <c r="S81" i="1" s="1"/>
  <c r="CV81" i="1"/>
  <c r="U81" i="1" s="1"/>
  <c r="CW81" i="1"/>
  <c r="V81" i="1" s="1"/>
  <c r="CX81" i="1"/>
  <c r="FR81" i="1"/>
  <c r="GK81" i="1"/>
  <c r="GL81" i="1"/>
  <c r="GN81" i="1"/>
  <c r="GO81" i="1"/>
  <c r="GV81" i="1"/>
  <c r="HC81" i="1"/>
  <c r="GX81" i="1" s="1"/>
  <c r="C82" i="1"/>
  <c r="D82" i="1"/>
  <c r="I82" i="1"/>
  <c r="V82" i="1"/>
  <c r="AC82" i="1"/>
  <c r="AB82" i="1" s="1"/>
  <c r="AD82" i="1"/>
  <c r="AE82" i="1"/>
  <c r="AF82" i="1"/>
  <c r="AG82" i="1"/>
  <c r="AH82" i="1"/>
  <c r="CV82" i="1" s="1"/>
  <c r="U82" i="1" s="1"/>
  <c r="AI82" i="1"/>
  <c r="AJ82" i="1"/>
  <c r="CQ82" i="1"/>
  <c r="P82" i="1" s="1"/>
  <c r="CR82" i="1"/>
  <c r="Q82" i="1" s="1"/>
  <c r="CS82" i="1"/>
  <c r="R82" i="1" s="1"/>
  <c r="CT82" i="1"/>
  <c r="S82" i="1" s="1"/>
  <c r="CU82" i="1"/>
  <c r="T82" i="1" s="1"/>
  <c r="CW82" i="1"/>
  <c r="CX82" i="1"/>
  <c r="W82" i="1" s="1"/>
  <c r="FR82" i="1"/>
  <c r="GL82" i="1"/>
  <c r="GN82" i="1"/>
  <c r="GO82" i="1"/>
  <c r="GV82" i="1"/>
  <c r="HC82" i="1"/>
  <c r="GX82" i="1" s="1"/>
  <c r="C83" i="1"/>
  <c r="D83" i="1"/>
  <c r="I83" i="1"/>
  <c r="CX59" i="3" s="1"/>
  <c r="AC83" i="1"/>
  <c r="AD83" i="1"/>
  <c r="AB83" i="1" s="1"/>
  <c r="AE83" i="1"/>
  <c r="AF83" i="1"/>
  <c r="CT83" i="1" s="1"/>
  <c r="S83" i="1" s="1"/>
  <c r="AG83" i="1"/>
  <c r="AH83" i="1"/>
  <c r="CV83" i="1" s="1"/>
  <c r="U83" i="1" s="1"/>
  <c r="AI83" i="1"/>
  <c r="AJ83" i="1"/>
  <c r="CX83" i="1" s="1"/>
  <c r="W83" i="1" s="1"/>
  <c r="CQ83" i="1"/>
  <c r="P83" i="1" s="1"/>
  <c r="CR83" i="1"/>
  <c r="Q83" i="1" s="1"/>
  <c r="CS83" i="1"/>
  <c r="R83" i="1" s="1"/>
  <c r="GK83" i="1" s="1"/>
  <c r="CU83" i="1"/>
  <c r="T83" i="1" s="1"/>
  <c r="CW83" i="1"/>
  <c r="V83" i="1" s="1"/>
  <c r="FR83" i="1"/>
  <c r="GL83" i="1"/>
  <c r="GN83" i="1"/>
  <c r="GO83" i="1"/>
  <c r="GV83" i="1"/>
  <c r="HC83" i="1" s="1"/>
  <c r="GX83" i="1" s="1"/>
  <c r="C84" i="1"/>
  <c r="D84" i="1"/>
  <c r="I84" i="1"/>
  <c r="AC84" i="1"/>
  <c r="AD84" i="1"/>
  <c r="AB84" i="1" s="1"/>
  <c r="AE84" i="1"/>
  <c r="AF84" i="1"/>
  <c r="CT84" i="1" s="1"/>
  <c r="S84" i="1" s="1"/>
  <c r="AG84" i="1"/>
  <c r="AH84" i="1"/>
  <c r="CV84" i="1" s="1"/>
  <c r="U84" i="1" s="1"/>
  <c r="AI84" i="1"/>
  <c r="AJ84" i="1"/>
  <c r="CX84" i="1" s="1"/>
  <c r="W84" i="1" s="1"/>
  <c r="CQ84" i="1"/>
  <c r="P84" i="1" s="1"/>
  <c r="CR84" i="1"/>
  <c r="Q84" i="1" s="1"/>
  <c r="CS84" i="1"/>
  <c r="R84" i="1" s="1"/>
  <c r="GK84" i="1" s="1"/>
  <c r="CU84" i="1"/>
  <c r="T84" i="1" s="1"/>
  <c r="CW84" i="1"/>
  <c r="V84" i="1" s="1"/>
  <c r="FR84" i="1"/>
  <c r="GL84" i="1"/>
  <c r="GN84" i="1"/>
  <c r="GO84" i="1"/>
  <c r="GV84" i="1"/>
  <c r="HC84" i="1" s="1"/>
  <c r="GX84" i="1" s="1"/>
  <c r="C85" i="1"/>
  <c r="D85" i="1"/>
  <c r="AC85" i="1"/>
  <c r="CQ85" i="1" s="1"/>
  <c r="P85" i="1" s="1"/>
  <c r="AE85" i="1"/>
  <c r="AD85" i="1" s="1"/>
  <c r="AF85" i="1"/>
  <c r="AG85" i="1"/>
  <c r="CU85" i="1" s="1"/>
  <c r="T85" i="1" s="1"/>
  <c r="AH85" i="1"/>
  <c r="AI85" i="1"/>
  <c r="CW85" i="1" s="1"/>
  <c r="V85" i="1" s="1"/>
  <c r="AJ85" i="1"/>
  <c r="CR85" i="1"/>
  <c r="Q85" i="1" s="1"/>
  <c r="CT85" i="1"/>
  <c r="S85" i="1" s="1"/>
  <c r="CV85" i="1"/>
  <c r="U85" i="1" s="1"/>
  <c r="CX85" i="1"/>
  <c r="W85" i="1" s="1"/>
  <c r="FR85" i="1"/>
  <c r="GL85" i="1"/>
  <c r="GN85" i="1"/>
  <c r="GO85" i="1"/>
  <c r="GV85" i="1"/>
  <c r="HC85" i="1" s="1"/>
  <c r="GX85" i="1" s="1"/>
  <c r="I86" i="1"/>
  <c r="AC86" i="1"/>
  <c r="AB86" i="1" s="1"/>
  <c r="AE86" i="1"/>
  <c r="AD86" i="1" s="1"/>
  <c r="AF86" i="1"/>
  <c r="AG86" i="1"/>
  <c r="CU86" i="1" s="1"/>
  <c r="T86" i="1" s="1"/>
  <c r="AH86" i="1"/>
  <c r="AI86" i="1"/>
  <c r="AJ86" i="1"/>
  <c r="CR86" i="1"/>
  <c r="Q86" i="1" s="1"/>
  <c r="CS86" i="1"/>
  <c r="R86" i="1" s="1"/>
  <c r="GK86" i="1" s="1"/>
  <c r="CT86" i="1"/>
  <c r="S86" i="1" s="1"/>
  <c r="CV86" i="1"/>
  <c r="U86" i="1" s="1"/>
  <c r="CW86" i="1"/>
  <c r="V86" i="1" s="1"/>
  <c r="CX86" i="1"/>
  <c r="W86" i="1" s="1"/>
  <c r="FR86" i="1"/>
  <c r="GL86" i="1"/>
  <c r="GN86" i="1"/>
  <c r="GO86" i="1"/>
  <c r="GV86" i="1"/>
  <c r="HC86" i="1"/>
  <c r="GX86" i="1" s="1"/>
  <c r="I87" i="1"/>
  <c r="AC87" i="1"/>
  <c r="AB87" i="1" s="1"/>
  <c r="AE87" i="1"/>
  <c r="AD87" i="1" s="1"/>
  <c r="AF87" i="1"/>
  <c r="AG87" i="1"/>
  <c r="AH87" i="1"/>
  <c r="AI87" i="1"/>
  <c r="CW87" i="1" s="1"/>
  <c r="V87" i="1" s="1"/>
  <c r="AJ87" i="1"/>
  <c r="CQ87" i="1"/>
  <c r="P87" i="1" s="1"/>
  <c r="CR87" i="1"/>
  <c r="Q87" i="1" s="1"/>
  <c r="CT87" i="1"/>
  <c r="S87" i="1" s="1"/>
  <c r="CU87" i="1"/>
  <c r="T87" i="1" s="1"/>
  <c r="CV87" i="1"/>
  <c r="U87" i="1" s="1"/>
  <c r="CX87" i="1"/>
  <c r="W87" i="1" s="1"/>
  <c r="FR87" i="1"/>
  <c r="GL87" i="1"/>
  <c r="GN87" i="1"/>
  <c r="GO87" i="1"/>
  <c r="GV87" i="1"/>
  <c r="HC87" i="1" s="1"/>
  <c r="GX87" i="1" s="1"/>
  <c r="C88" i="1"/>
  <c r="D88" i="1"/>
  <c r="AC88" i="1"/>
  <c r="AE88" i="1"/>
  <c r="AD88" i="1" s="1"/>
  <c r="AB88" i="1" s="1"/>
  <c r="AF88" i="1"/>
  <c r="CT88" i="1" s="1"/>
  <c r="S88" i="1" s="1"/>
  <c r="AG88" i="1"/>
  <c r="AH88" i="1"/>
  <c r="AI88" i="1"/>
  <c r="AJ88" i="1"/>
  <c r="CX88" i="1" s="1"/>
  <c r="W88" i="1" s="1"/>
  <c r="CQ88" i="1"/>
  <c r="P88" i="1" s="1"/>
  <c r="CR88" i="1"/>
  <c r="Q88" i="1" s="1"/>
  <c r="CS88" i="1"/>
  <c r="R88" i="1" s="1"/>
  <c r="GK88" i="1" s="1"/>
  <c r="CU88" i="1"/>
  <c r="T88" i="1" s="1"/>
  <c r="CV88" i="1"/>
  <c r="U88" i="1" s="1"/>
  <c r="CW88" i="1"/>
  <c r="V88" i="1" s="1"/>
  <c r="FR88" i="1"/>
  <c r="GL88" i="1"/>
  <c r="GN88" i="1"/>
  <c r="GO88" i="1"/>
  <c r="GV88" i="1"/>
  <c r="HC88" i="1" s="1"/>
  <c r="GX88" i="1" s="1"/>
  <c r="C89" i="1"/>
  <c r="D89" i="1"/>
  <c r="AC89" i="1"/>
  <c r="AE89" i="1"/>
  <c r="AD89" i="1" s="1"/>
  <c r="AF89" i="1"/>
  <c r="AG89" i="1"/>
  <c r="CU89" i="1" s="1"/>
  <c r="T89" i="1" s="1"/>
  <c r="AH89" i="1"/>
  <c r="AI89" i="1"/>
  <c r="AJ89" i="1"/>
  <c r="CR89" i="1"/>
  <c r="Q89" i="1" s="1"/>
  <c r="CS89" i="1"/>
  <c r="R89" i="1" s="1"/>
  <c r="GK89" i="1" s="1"/>
  <c r="CT89" i="1"/>
  <c r="S89" i="1" s="1"/>
  <c r="CV89" i="1"/>
  <c r="U89" i="1" s="1"/>
  <c r="CW89" i="1"/>
  <c r="V89" i="1" s="1"/>
  <c r="CX89" i="1"/>
  <c r="W89" i="1" s="1"/>
  <c r="FR89" i="1"/>
  <c r="GL89" i="1"/>
  <c r="GN89" i="1"/>
  <c r="GO89" i="1"/>
  <c r="GV89" i="1"/>
  <c r="HC89" i="1"/>
  <c r="GX89" i="1" s="1"/>
  <c r="C90" i="1"/>
  <c r="D90" i="1"/>
  <c r="I90" i="1"/>
  <c r="AC90" i="1"/>
  <c r="AE90" i="1"/>
  <c r="AD90" i="1" s="1"/>
  <c r="AF90" i="1"/>
  <c r="AG90" i="1"/>
  <c r="CU90" i="1" s="1"/>
  <c r="T90" i="1" s="1"/>
  <c r="AH90" i="1"/>
  <c r="AI90" i="1"/>
  <c r="AJ90" i="1"/>
  <c r="CR90" i="1"/>
  <c r="Q90" i="1" s="1"/>
  <c r="CS90" i="1"/>
  <c r="R90" i="1" s="1"/>
  <c r="GK90" i="1" s="1"/>
  <c r="CT90" i="1"/>
  <c r="S90" i="1" s="1"/>
  <c r="CV90" i="1"/>
  <c r="U90" i="1" s="1"/>
  <c r="CW90" i="1"/>
  <c r="V90" i="1" s="1"/>
  <c r="CX90" i="1"/>
  <c r="W90" i="1" s="1"/>
  <c r="FR90" i="1"/>
  <c r="GL90" i="1"/>
  <c r="GN90" i="1"/>
  <c r="GO90" i="1"/>
  <c r="GV90" i="1"/>
  <c r="HC90" i="1"/>
  <c r="GX90" i="1" s="1"/>
  <c r="C91" i="1"/>
  <c r="D91" i="1"/>
  <c r="I91" i="1"/>
  <c r="AC91" i="1"/>
  <c r="AE91" i="1"/>
  <c r="AD91" i="1" s="1"/>
  <c r="AF91" i="1"/>
  <c r="AG91" i="1"/>
  <c r="CU91" i="1" s="1"/>
  <c r="T91" i="1" s="1"/>
  <c r="AH91" i="1"/>
  <c r="AI91" i="1"/>
  <c r="AJ91" i="1"/>
  <c r="CR91" i="1"/>
  <c r="Q91" i="1" s="1"/>
  <c r="CS91" i="1"/>
  <c r="R91" i="1" s="1"/>
  <c r="GK91" i="1" s="1"/>
  <c r="CT91" i="1"/>
  <c r="S91" i="1" s="1"/>
  <c r="CV91" i="1"/>
  <c r="U91" i="1" s="1"/>
  <c r="CW91" i="1"/>
  <c r="V91" i="1" s="1"/>
  <c r="CX91" i="1"/>
  <c r="W91" i="1" s="1"/>
  <c r="FR91" i="1"/>
  <c r="GL91" i="1"/>
  <c r="GN91" i="1"/>
  <c r="GO91" i="1"/>
  <c r="GV91" i="1"/>
  <c r="HC91" i="1"/>
  <c r="GX91" i="1" s="1"/>
  <c r="C92" i="1"/>
  <c r="D92" i="1"/>
  <c r="I92" i="1"/>
  <c r="AC92" i="1"/>
  <c r="AE92" i="1"/>
  <c r="AD92" i="1" s="1"/>
  <c r="AF92" i="1"/>
  <c r="AG92" i="1"/>
  <c r="CU92" i="1" s="1"/>
  <c r="T92" i="1" s="1"/>
  <c r="AH92" i="1"/>
  <c r="AI92" i="1"/>
  <c r="AJ92" i="1"/>
  <c r="CR92" i="1"/>
  <c r="Q92" i="1" s="1"/>
  <c r="CS92" i="1"/>
  <c r="R92" i="1" s="1"/>
  <c r="GK92" i="1" s="1"/>
  <c r="CT92" i="1"/>
  <c r="S92" i="1" s="1"/>
  <c r="CV92" i="1"/>
  <c r="U92" i="1" s="1"/>
  <c r="CW92" i="1"/>
  <c r="V92" i="1" s="1"/>
  <c r="CX92" i="1"/>
  <c r="W92" i="1" s="1"/>
  <c r="FR92" i="1"/>
  <c r="GL92" i="1"/>
  <c r="GN92" i="1"/>
  <c r="GO92" i="1"/>
  <c r="GV92" i="1"/>
  <c r="HC92" i="1"/>
  <c r="GX92" i="1" s="1"/>
  <c r="B94" i="1"/>
  <c r="B72" i="1" s="1"/>
  <c r="C94" i="1"/>
  <c r="C72" i="1" s="1"/>
  <c r="D94" i="1"/>
  <c r="D72" i="1" s="1"/>
  <c r="F94" i="1"/>
  <c r="F72" i="1" s="1"/>
  <c r="G94" i="1"/>
  <c r="G72" i="1" s="1"/>
  <c r="BX94" i="1"/>
  <c r="BX72" i="1" s="1"/>
  <c r="BY94" i="1"/>
  <c r="BY72" i="1" s="1"/>
  <c r="BZ94" i="1"/>
  <c r="BZ72" i="1" s="1"/>
  <c r="CB94" i="1"/>
  <c r="CB72" i="1" s="1"/>
  <c r="CC94" i="1"/>
  <c r="CC72" i="1" s="1"/>
  <c r="CI94" i="1"/>
  <c r="CI72" i="1" s="1"/>
  <c r="CK94" i="1"/>
  <c r="CK72" i="1" s="1"/>
  <c r="CL94" i="1"/>
  <c r="CL72" i="1" s="1"/>
  <c r="CM94" i="1"/>
  <c r="CM72" i="1" s="1"/>
  <c r="B124" i="1"/>
  <c r="B26" i="1" s="1"/>
  <c r="C124" i="1"/>
  <c r="C26" i="1" s="1"/>
  <c r="D124" i="1"/>
  <c r="D26" i="1" s="1"/>
  <c r="F124" i="1"/>
  <c r="F26" i="1" s="1"/>
  <c r="G124" i="1"/>
  <c r="G26" i="1" s="1"/>
  <c r="D154" i="1"/>
  <c r="E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EF156" i="1"/>
  <c r="EG156" i="1"/>
  <c r="EH156" i="1"/>
  <c r="EI156" i="1"/>
  <c r="EJ156" i="1"/>
  <c r="EK156" i="1"/>
  <c r="EL156" i="1"/>
  <c r="EM156" i="1"/>
  <c r="EN156" i="1"/>
  <c r="EO156" i="1"/>
  <c r="EP156" i="1"/>
  <c r="EQ156" i="1"/>
  <c r="ER156" i="1"/>
  <c r="ES156" i="1"/>
  <c r="ET156" i="1"/>
  <c r="EU156" i="1"/>
  <c r="EV156" i="1"/>
  <c r="EW156" i="1"/>
  <c r="EX156" i="1"/>
  <c r="EY156" i="1"/>
  <c r="EZ156" i="1"/>
  <c r="FA156" i="1"/>
  <c r="FB156" i="1"/>
  <c r="FC156" i="1"/>
  <c r="FD156" i="1"/>
  <c r="FE156" i="1"/>
  <c r="FF156" i="1"/>
  <c r="FG156" i="1"/>
  <c r="FH156" i="1"/>
  <c r="FI156" i="1"/>
  <c r="FJ156" i="1"/>
  <c r="FK156" i="1"/>
  <c r="FL156" i="1"/>
  <c r="FM156" i="1"/>
  <c r="FN156" i="1"/>
  <c r="FO156" i="1"/>
  <c r="FP156" i="1"/>
  <c r="FQ156" i="1"/>
  <c r="FR156" i="1"/>
  <c r="FS156" i="1"/>
  <c r="FT156" i="1"/>
  <c r="FU156" i="1"/>
  <c r="FV156" i="1"/>
  <c r="FW156" i="1"/>
  <c r="FX156" i="1"/>
  <c r="FY156" i="1"/>
  <c r="FZ156" i="1"/>
  <c r="GA156" i="1"/>
  <c r="GB156" i="1"/>
  <c r="GC156" i="1"/>
  <c r="GD156" i="1"/>
  <c r="GE156" i="1"/>
  <c r="GF156" i="1"/>
  <c r="GG156" i="1"/>
  <c r="GH156" i="1"/>
  <c r="GI156" i="1"/>
  <c r="GJ156" i="1"/>
  <c r="GK156" i="1"/>
  <c r="GL156" i="1"/>
  <c r="GM156" i="1"/>
  <c r="GN156" i="1"/>
  <c r="GO156" i="1"/>
  <c r="GP156" i="1"/>
  <c r="GQ156" i="1"/>
  <c r="GR156" i="1"/>
  <c r="GS156" i="1"/>
  <c r="GT156" i="1"/>
  <c r="GU156" i="1"/>
  <c r="GV156" i="1"/>
  <c r="GW156" i="1"/>
  <c r="GX156" i="1"/>
  <c r="D158" i="1"/>
  <c r="E160" i="1"/>
  <c r="Z160" i="1"/>
  <c r="AA160" i="1"/>
  <c r="AM160" i="1"/>
  <c r="AN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DW160" i="1"/>
  <c r="DX160" i="1"/>
  <c r="DY160" i="1"/>
  <c r="DZ160" i="1"/>
  <c r="EA160" i="1"/>
  <c r="EB160" i="1"/>
  <c r="EC160" i="1"/>
  <c r="ED160" i="1"/>
  <c r="EE160" i="1"/>
  <c r="EF160" i="1"/>
  <c r="EG160" i="1"/>
  <c r="EH160" i="1"/>
  <c r="EI160" i="1"/>
  <c r="EJ160" i="1"/>
  <c r="EK160" i="1"/>
  <c r="EL160" i="1"/>
  <c r="EM160" i="1"/>
  <c r="EN160" i="1"/>
  <c r="EO160" i="1"/>
  <c r="EP160" i="1"/>
  <c r="EQ160" i="1"/>
  <c r="ER160" i="1"/>
  <c r="ES160" i="1"/>
  <c r="ET160" i="1"/>
  <c r="EU160" i="1"/>
  <c r="EV160" i="1"/>
  <c r="EW160" i="1"/>
  <c r="EX160" i="1"/>
  <c r="EY160" i="1"/>
  <c r="EZ160" i="1"/>
  <c r="FA160" i="1"/>
  <c r="FB160" i="1"/>
  <c r="FC160" i="1"/>
  <c r="FD160" i="1"/>
  <c r="FE160" i="1"/>
  <c r="FF160" i="1"/>
  <c r="FG160" i="1"/>
  <c r="FH160" i="1"/>
  <c r="FI160" i="1"/>
  <c r="FJ160" i="1"/>
  <c r="FK160" i="1"/>
  <c r="FL160" i="1"/>
  <c r="FM160" i="1"/>
  <c r="FN160" i="1"/>
  <c r="FO160" i="1"/>
  <c r="FP160" i="1"/>
  <c r="FQ160" i="1"/>
  <c r="FR160" i="1"/>
  <c r="FS160" i="1"/>
  <c r="FT160" i="1"/>
  <c r="FU160" i="1"/>
  <c r="FV160" i="1"/>
  <c r="FW160" i="1"/>
  <c r="FX160" i="1"/>
  <c r="FY160" i="1"/>
  <c r="FZ160" i="1"/>
  <c r="GA160" i="1"/>
  <c r="GB160" i="1"/>
  <c r="GC160" i="1"/>
  <c r="GD160" i="1"/>
  <c r="GE160" i="1"/>
  <c r="GF160" i="1"/>
  <c r="GG160" i="1"/>
  <c r="GH160" i="1"/>
  <c r="GI160" i="1"/>
  <c r="GJ160" i="1"/>
  <c r="GK160" i="1"/>
  <c r="GL160" i="1"/>
  <c r="GM160" i="1"/>
  <c r="GN160" i="1"/>
  <c r="GO160" i="1"/>
  <c r="GP160" i="1"/>
  <c r="GQ160" i="1"/>
  <c r="GR160" i="1"/>
  <c r="GS160" i="1"/>
  <c r="GT160" i="1"/>
  <c r="GU160" i="1"/>
  <c r="GV160" i="1"/>
  <c r="GW160" i="1"/>
  <c r="GX160" i="1"/>
  <c r="C162" i="1"/>
  <c r="D162" i="1"/>
  <c r="AC162" i="1"/>
  <c r="CQ162" i="1" s="1"/>
  <c r="P162" i="1" s="1"/>
  <c r="AE162" i="1"/>
  <c r="AD162" i="1" s="1"/>
  <c r="AF162" i="1"/>
  <c r="AG162" i="1"/>
  <c r="CU162" i="1" s="1"/>
  <c r="T162" i="1" s="1"/>
  <c r="AG165" i="1" s="1"/>
  <c r="AH162" i="1"/>
  <c r="AI162" i="1"/>
  <c r="CW162" i="1" s="1"/>
  <c r="V162" i="1" s="1"/>
  <c r="AI165" i="1" s="1"/>
  <c r="AJ162" i="1"/>
  <c r="CR162" i="1"/>
  <c r="Q162" i="1" s="1"/>
  <c r="AD165" i="1" s="1"/>
  <c r="CT162" i="1"/>
  <c r="S162" i="1" s="1"/>
  <c r="CV162" i="1"/>
  <c r="U162" i="1" s="1"/>
  <c r="AH165" i="1" s="1"/>
  <c r="CX162" i="1"/>
  <c r="W162" i="1" s="1"/>
  <c r="AJ165" i="1" s="1"/>
  <c r="FR162" i="1"/>
  <c r="GL162" i="1"/>
  <c r="GN162" i="1"/>
  <c r="GO162" i="1"/>
  <c r="GV162" i="1"/>
  <c r="HC162" i="1" s="1"/>
  <c r="GX162" i="1" s="1"/>
  <c r="B165" i="1"/>
  <c r="B160" i="1" s="1"/>
  <c r="C165" i="1"/>
  <c r="C160" i="1" s="1"/>
  <c r="D165" i="1"/>
  <c r="D160" i="1" s="1"/>
  <c r="F165" i="1"/>
  <c r="F160" i="1" s="1"/>
  <c r="G165" i="1"/>
  <c r="G160" i="1" s="1"/>
  <c r="BX165" i="1"/>
  <c r="BX160" i="1" s="1"/>
  <c r="BY165" i="1"/>
  <c r="BZ165" i="1"/>
  <c r="BZ160" i="1" s="1"/>
  <c r="CB165" i="1"/>
  <c r="CB160" i="1" s="1"/>
  <c r="CC165" i="1"/>
  <c r="CC160" i="1" s="1"/>
  <c r="CJ165" i="1"/>
  <c r="CJ160" i="1" s="1"/>
  <c r="CK165" i="1"/>
  <c r="CK160" i="1" s="1"/>
  <c r="CL165" i="1"/>
  <c r="CL160" i="1" s="1"/>
  <c r="CM165" i="1"/>
  <c r="CM160" i="1" s="1"/>
  <c r="D195" i="1"/>
  <c r="E197" i="1"/>
  <c r="Z197" i="1"/>
  <c r="AA197" i="1"/>
  <c r="AM197" i="1"/>
  <c r="AN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EP197" i="1"/>
  <c r="EQ197" i="1"/>
  <c r="ER197" i="1"/>
  <c r="ES197" i="1"/>
  <c r="ET197" i="1"/>
  <c r="EU197" i="1"/>
  <c r="EV197" i="1"/>
  <c r="EW197" i="1"/>
  <c r="EX197" i="1"/>
  <c r="EY197" i="1"/>
  <c r="EZ197" i="1"/>
  <c r="FA197" i="1"/>
  <c r="FB197" i="1"/>
  <c r="FC197" i="1"/>
  <c r="FD197" i="1"/>
  <c r="FE197" i="1"/>
  <c r="FF197" i="1"/>
  <c r="FG197" i="1"/>
  <c r="FH197" i="1"/>
  <c r="FI197" i="1"/>
  <c r="FJ197" i="1"/>
  <c r="FK197" i="1"/>
  <c r="FL197" i="1"/>
  <c r="FM197" i="1"/>
  <c r="FN197" i="1"/>
  <c r="FO197" i="1"/>
  <c r="FP197" i="1"/>
  <c r="FQ197" i="1"/>
  <c r="FR197" i="1"/>
  <c r="FS197" i="1"/>
  <c r="FT197" i="1"/>
  <c r="FU197" i="1"/>
  <c r="FV197" i="1"/>
  <c r="FW197" i="1"/>
  <c r="FX197" i="1"/>
  <c r="FY197" i="1"/>
  <c r="FZ197" i="1"/>
  <c r="GA197" i="1"/>
  <c r="GB197" i="1"/>
  <c r="GC197" i="1"/>
  <c r="GD197" i="1"/>
  <c r="GE197" i="1"/>
  <c r="GF197" i="1"/>
  <c r="GG197" i="1"/>
  <c r="GH197" i="1"/>
  <c r="GI197" i="1"/>
  <c r="GJ197" i="1"/>
  <c r="GK197" i="1"/>
  <c r="GL197" i="1"/>
  <c r="GM197" i="1"/>
  <c r="GN197" i="1"/>
  <c r="GO197" i="1"/>
  <c r="GP197" i="1"/>
  <c r="GQ197" i="1"/>
  <c r="GR197" i="1"/>
  <c r="GS197" i="1"/>
  <c r="GT197" i="1"/>
  <c r="GU197" i="1"/>
  <c r="GV197" i="1"/>
  <c r="GW197" i="1"/>
  <c r="GX197" i="1"/>
  <c r="C199" i="1"/>
  <c r="D199" i="1"/>
  <c r="I199" i="1"/>
  <c r="CX117" i="3" s="1"/>
  <c r="AC199" i="1"/>
  <c r="AB199" i="1" s="1"/>
  <c r="AD199" i="1"/>
  <c r="AE199" i="1"/>
  <c r="CS199" i="1" s="1"/>
  <c r="R199" i="1" s="1"/>
  <c r="GK199" i="1" s="1"/>
  <c r="AF199" i="1"/>
  <c r="AG199" i="1"/>
  <c r="AH199" i="1"/>
  <c r="CV199" i="1" s="1"/>
  <c r="U199" i="1" s="1"/>
  <c r="AI199" i="1"/>
  <c r="CW199" i="1" s="1"/>
  <c r="V199" i="1" s="1"/>
  <c r="AJ199" i="1"/>
  <c r="CQ199" i="1"/>
  <c r="P199" i="1" s="1"/>
  <c r="CR199" i="1"/>
  <c r="Q199" i="1" s="1"/>
  <c r="CT199" i="1"/>
  <c r="S199" i="1" s="1"/>
  <c r="CU199" i="1"/>
  <c r="T199" i="1" s="1"/>
  <c r="CX199" i="1"/>
  <c r="W199" i="1" s="1"/>
  <c r="FR199" i="1"/>
  <c r="GL199" i="1"/>
  <c r="GN199" i="1"/>
  <c r="GO199" i="1"/>
  <c r="GV199" i="1"/>
  <c r="HC199" i="1" s="1"/>
  <c r="GX199" i="1" s="1"/>
  <c r="C200" i="1"/>
  <c r="D200" i="1"/>
  <c r="I200" i="1"/>
  <c r="AC200" i="1"/>
  <c r="AD200" i="1"/>
  <c r="AB200" i="1" s="1"/>
  <c r="AE200" i="1"/>
  <c r="CS200" i="1" s="1"/>
  <c r="R200" i="1" s="1"/>
  <c r="GK200" i="1" s="1"/>
  <c r="AF200" i="1"/>
  <c r="CT200" i="1" s="1"/>
  <c r="S200" i="1" s="1"/>
  <c r="AG200" i="1"/>
  <c r="AH200" i="1"/>
  <c r="CV200" i="1" s="1"/>
  <c r="U200" i="1" s="1"/>
  <c r="AI200" i="1"/>
  <c r="CW200" i="1" s="1"/>
  <c r="V200" i="1" s="1"/>
  <c r="AJ200" i="1"/>
  <c r="CX200" i="1" s="1"/>
  <c r="W200" i="1" s="1"/>
  <c r="CQ200" i="1"/>
  <c r="P200" i="1" s="1"/>
  <c r="CR200" i="1"/>
  <c r="Q200" i="1" s="1"/>
  <c r="CU200" i="1"/>
  <c r="T200" i="1" s="1"/>
  <c r="FR200" i="1"/>
  <c r="GL200" i="1"/>
  <c r="GN200" i="1"/>
  <c r="GO200" i="1"/>
  <c r="GV200" i="1"/>
  <c r="HC200" i="1" s="1"/>
  <c r="GX200" i="1" s="1"/>
  <c r="C201" i="1"/>
  <c r="D201" i="1"/>
  <c r="AC201" i="1"/>
  <c r="CQ201" i="1" s="1"/>
  <c r="P201" i="1" s="1"/>
  <c r="AE201" i="1"/>
  <c r="AD201" i="1" s="1"/>
  <c r="AB201" i="1" s="1"/>
  <c r="AF201" i="1"/>
  <c r="CT201" i="1" s="1"/>
  <c r="S201" i="1" s="1"/>
  <c r="AG201" i="1"/>
  <c r="CU201" i="1" s="1"/>
  <c r="T201" i="1" s="1"/>
  <c r="AH201" i="1"/>
  <c r="AI201" i="1"/>
  <c r="CW201" i="1" s="1"/>
  <c r="V201" i="1" s="1"/>
  <c r="AJ201" i="1"/>
  <c r="CX201" i="1" s="1"/>
  <c r="W201" i="1" s="1"/>
  <c r="CR201" i="1"/>
  <c r="Q201" i="1" s="1"/>
  <c r="CV201" i="1"/>
  <c r="U201" i="1" s="1"/>
  <c r="FR201" i="1"/>
  <c r="GL201" i="1"/>
  <c r="GN201" i="1"/>
  <c r="GO201" i="1"/>
  <c r="GV201" i="1"/>
  <c r="HC201" i="1" s="1"/>
  <c r="GX201" i="1" s="1"/>
  <c r="C202" i="1"/>
  <c r="D202" i="1"/>
  <c r="AC202" i="1"/>
  <c r="CQ202" i="1" s="1"/>
  <c r="P202" i="1" s="1"/>
  <c r="AE202" i="1"/>
  <c r="AD202" i="1" s="1"/>
  <c r="AB202" i="1" s="1"/>
  <c r="AF202" i="1"/>
  <c r="CT202" i="1" s="1"/>
  <c r="S202" i="1" s="1"/>
  <c r="AG202" i="1"/>
  <c r="CU202" i="1" s="1"/>
  <c r="T202" i="1" s="1"/>
  <c r="AH202" i="1"/>
  <c r="AI202" i="1"/>
  <c r="AJ202" i="1"/>
  <c r="CX202" i="1" s="1"/>
  <c r="W202" i="1" s="1"/>
  <c r="CR202" i="1"/>
  <c r="Q202" i="1" s="1"/>
  <c r="CS202" i="1"/>
  <c r="R202" i="1" s="1"/>
  <c r="GK202" i="1" s="1"/>
  <c r="CV202" i="1"/>
  <c r="U202" i="1" s="1"/>
  <c r="CW202" i="1"/>
  <c r="V202" i="1" s="1"/>
  <c r="FR202" i="1"/>
  <c r="GL202" i="1"/>
  <c r="GN202" i="1"/>
  <c r="GO202" i="1"/>
  <c r="GV202" i="1"/>
  <c r="GX202" i="1"/>
  <c r="HC202" i="1"/>
  <c r="I203" i="1"/>
  <c r="AC203" i="1"/>
  <c r="AB203" i="1" s="1"/>
  <c r="AD203" i="1"/>
  <c r="AE203" i="1"/>
  <c r="CS203" i="1" s="1"/>
  <c r="R203" i="1" s="1"/>
  <c r="GK203" i="1" s="1"/>
  <c r="AF203" i="1"/>
  <c r="AG203" i="1"/>
  <c r="AH203" i="1"/>
  <c r="CV203" i="1" s="1"/>
  <c r="U203" i="1" s="1"/>
  <c r="AI203" i="1"/>
  <c r="CW203" i="1" s="1"/>
  <c r="V203" i="1" s="1"/>
  <c r="AJ203" i="1"/>
  <c r="CQ203" i="1"/>
  <c r="P203" i="1" s="1"/>
  <c r="CP203" i="1" s="1"/>
  <c r="O203" i="1" s="1"/>
  <c r="CR203" i="1"/>
  <c r="Q203" i="1" s="1"/>
  <c r="CT203" i="1"/>
  <c r="S203" i="1" s="1"/>
  <c r="CU203" i="1"/>
  <c r="T203" i="1" s="1"/>
  <c r="CX203" i="1"/>
  <c r="W203" i="1" s="1"/>
  <c r="FR203" i="1"/>
  <c r="GL203" i="1"/>
  <c r="GN203" i="1"/>
  <c r="GO203" i="1"/>
  <c r="GV203" i="1"/>
  <c r="HC203" i="1" s="1"/>
  <c r="GX203" i="1" s="1"/>
  <c r="C204" i="1"/>
  <c r="D204" i="1"/>
  <c r="AC204" i="1"/>
  <c r="AE204" i="1"/>
  <c r="AD204" i="1" s="1"/>
  <c r="AB204" i="1" s="1"/>
  <c r="AF204" i="1"/>
  <c r="CT204" i="1" s="1"/>
  <c r="S204" i="1" s="1"/>
  <c r="AG204" i="1"/>
  <c r="AH204" i="1"/>
  <c r="AI204" i="1"/>
  <c r="CW204" i="1" s="1"/>
  <c r="V204" i="1" s="1"/>
  <c r="AJ204" i="1"/>
  <c r="CX204" i="1" s="1"/>
  <c r="W204" i="1" s="1"/>
  <c r="CQ204" i="1"/>
  <c r="P204" i="1" s="1"/>
  <c r="CR204" i="1"/>
  <c r="Q204" i="1" s="1"/>
  <c r="CU204" i="1"/>
  <c r="T204" i="1" s="1"/>
  <c r="CV204" i="1"/>
  <c r="U204" i="1" s="1"/>
  <c r="FR204" i="1"/>
  <c r="GL204" i="1"/>
  <c r="GN204" i="1"/>
  <c r="GO204" i="1"/>
  <c r="GV204" i="1"/>
  <c r="HC204" i="1" s="1"/>
  <c r="GX204" i="1" s="1"/>
  <c r="C205" i="1"/>
  <c r="D205" i="1"/>
  <c r="I205" i="1"/>
  <c r="AC205" i="1"/>
  <c r="AE205" i="1"/>
  <c r="AD205" i="1" s="1"/>
  <c r="AB205" i="1" s="1"/>
  <c r="AF205" i="1"/>
  <c r="CT205" i="1" s="1"/>
  <c r="S205" i="1" s="1"/>
  <c r="AG205" i="1"/>
  <c r="AH205" i="1"/>
  <c r="AI205" i="1"/>
  <c r="CW205" i="1" s="1"/>
  <c r="V205" i="1" s="1"/>
  <c r="AJ205" i="1"/>
  <c r="CX205" i="1" s="1"/>
  <c r="W205" i="1" s="1"/>
  <c r="CQ205" i="1"/>
  <c r="P205" i="1" s="1"/>
  <c r="CP205" i="1" s="1"/>
  <c r="O205" i="1" s="1"/>
  <c r="CR205" i="1"/>
  <c r="Q205" i="1" s="1"/>
  <c r="CU205" i="1"/>
  <c r="T205" i="1" s="1"/>
  <c r="CV205" i="1"/>
  <c r="U205" i="1" s="1"/>
  <c r="FR205" i="1"/>
  <c r="GL205" i="1"/>
  <c r="GN205" i="1"/>
  <c r="GO205" i="1"/>
  <c r="GV205" i="1"/>
  <c r="HC205" i="1" s="1"/>
  <c r="GX205" i="1" s="1"/>
  <c r="C206" i="1"/>
  <c r="D206" i="1"/>
  <c r="I206" i="1"/>
  <c r="AC206" i="1"/>
  <c r="AE206" i="1"/>
  <c r="AD206" i="1" s="1"/>
  <c r="AB206" i="1" s="1"/>
  <c r="AF206" i="1"/>
  <c r="CT206" i="1" s="1"/>
  <c r="S206" i="1" s="1"/>
  <c r="AG206" i="1"/>
  <c r="AH206" i="1"/>
  <c r="AI206" i="1"/>
  <c r="CW206" i="1" s="1"/>
  <c r="V206" i="1" s="1"/>
  <c r="AJ206" i="1"/>
  <c r="CX206" i="1" s="1"/>
  <c r="W206" i="1" s="1"/>
  <c r="CQ206" i="1"/>
  <c r="P206" i="1" s="1"/>
  <c r="CR206" i="1"/>
  <c r="Q206" i="1" s="1"/>
  <c r="CU206" i="1"/>
  <c r="T206" i="1" s="1"/>
  <c r="CV206" i="1"/>
  <c r="U206" i="1" s="1"/>
  <c r="FR206" i="1"/>
  <c r="GL206" i="1"/>
  <c r="GN206" i="1"/>
  <c r="GO206" i="1"/>
  <c r="GV206" i="1"/>
  <c r="HC206" i="1" s="1"/>
  <c r="GX206" i="1" s="1"/>
  <c r="C207" i="1"/>
  <c r="D207" i="1"/>
  <c r="I207" i="1"/>
  <c r="AC207" i="1"/>
  <c r="AE207" i="1"/>
  <c r="AD207" i="1" s="1"/>
  <c r="AB207" i="1" s="1"/>
  <c r="AF207" i="1"/>
  <c r="CT207" i="1" s="1"/>
  <c r="S207" i="1" s="1"/>
  <c r="AG207" i="1"/>
  <c r="AH207" i="1"/>
  <c r="AI207" i="1"/>
  <c r="CW207" i="1" s="1"/>
  <c r="V207" i="1" s="1"/>
  <c r="AJ207" i="1"/>
  <c r="CX207" i="1" s="1"/>
  <c r="W207" i="1" s="1"/>
  <c r="CQ207" i="1"/>
  <c r="P207" i="1" s="1"/>
  <c r="CP207" i="1" s="1"/>
  <c r="O207" i="1" s="1"/>
  <c r="CR207" i="1"/>
  <c r="Q207" i="1" s="1"/>
  <c r="CU207" i="1"/>
  <c r="T207" i="1" s="1"/>
  <c r="CV207" i="1"/>
  <c r="U207" i="1" s="1"/>
  <c r="FR207" i="1"/>
  <c r="GL207" i="1"/>
  <c r="GN207" i="1"/>
  <c r="GO207" i="1"/>
  <c r="GV207" i="1"/>
  <c r="HC207" i="1" s="1"/>
  <c r="GX207" i="1" s="1"/>
  <c r="C208" i="1"/>
  <c r="D208" i="1"/>
  <c r="AC208" i="1"/>
  <c r="CQ208" i="1" s="1"/>
  <c r="P208" i="1" s="1"/>
  <c r="AE208" i="1"/>
  <c r="AD208" i="1" s="1"/>
  <c r="AB208" i="1" s="1"/>
  <c r="AF208" i="1"/>
  <c r="CT208" i="1" s="1"/>
  <c r="S208" i="1" s="1"/>
  <c r="AG208" i="1"/>
  <c r="CU208" i="1" s="1"/>
  <c r="T208" i="1" s="1"/>
  <c r="AH208" i="1"/>
  <c r="AI208" i="1"/>
  <c r="AJ208" i="1"/>
  <c r="CX208" i="1" s="1"/>
  <c r="W208" i="1" s="1"/>
  <c r="CR208" i="1"/>
  <c r="Q208" i="1" s="1"/>
  <c r="CS208" i="1"/>
  <c r="R208" i="1" s="1"/>
  <c r="GK208" i="1" s="1"/>
  <c r="CV208" i="1"/>
  <c r="U208" i="1" s="1"/>
  <c r="CW208" i="1"/>
  <c r="V208" i="1" s="1"/>
  <c r="FR208" i="1"/>
  <c r="GL208" i="1"/>
  <c r="GN208" i="1"/>
  <c r="GO208" i="1"/>
  <c r="GV208" i="1"/>
  <c r="GX208" i="1"/>
  <c r="HC208" i="1"/>
  <c r="I209" i="1"/>
  <c r="AC209" i="1"/>
  <c r="AB209" i="1" s="1"/>
  <c r="AD209" i="1"/>
  <c r="AE209" i="1"/>
  <c r="CS209" i="1" s="1"/>
  <c r="R209" i="1" s="1"/>
  <c r="GK209" i="1" s="1"/>
  <c r="AF209" i="1"/>
  <c r="AG209" i="1"/>
  <c r="AH209" i="1"/>
  <c r="CV209" i="1" s="1"/>
  <c r="U209" i="1" s="1"/>
  <c r="AI209" i="1"/>
  <c r="CW209" i="1" s="1"/>
  <c r="V209" i="1" s="1"/>
  <c r="AJ209" i="1"/>
  <c r="CQ209" i="1"/>
  <c r="P209" i="1" s="1"/>
  <c r="CR209" i="1"/>
  <c r="Q209" i="1" s="1"/>
  <c r="CT209" i="1"/>
  <c r="S209" i="1" s="1"/>
  <c r="CU209" i="1"/>
  <c r="T209" i="1" s="1"/>
  <c r="CX209" i="1"/>
  <c r="W209" i="1" s="1"/>
  <c r="FR209" i="1"/>
  <c r="GL209" i="1"/>
  <c r="GN209" i="1"/>
  <c r="GO209" i="1"/>
  <c r="GV209" i="1"/>
  <c r="HC209" i="1" s="1"/>
  <c r="GX209" i="1" s="1"/>
  <c r="I210" i="1"/>
  <c r="AC210" i="1"/>
  <c r="CQ210" i="1" s="1"/>
  <c r="P210" i="1" s="1"/>
  <c r="AE210" i="1"/>
  <c r="AD210" i="1" s="1"/>
  <c r="AB210" i="1" s="1"/>
  <c r="AF210" i="1"/>
  <c r="CT210" i="1" s="1"/>
  <c r="S210" i="1" s="1"/>
  <c r="AG210" i="1"/>
  <c r="CU210" i="1" s="1"/>
  <c r="T210" i="1" s="1"/>
  <c r="AH210" i="1"/>
  <c r="AI210" i="1"/>
  <c r="AJ210" i="1"/>
  <c r="CX210" i="1" s="1"/>
  <c r="W210" i="1" s="1"/>
  <c r="CR210" i="1"/>
  <c r="Q210" i="1" s="1"/>
  <c r="CS210" i="1"/>
  <c r="R210" i="1" s="1"/>
  <c r="GK210" i="1" s="1"/>
  <c r="CV210" i="1"/>
  <c r="U210" i="1" s="1"/>
  <c r="CW210" i="1"/>
  <c r="V210" i="1" s="1"/>
  <c r="FR210" i="1"/>
  <c r="GL210" i="1"/>
  <c r="GN210" i="1"/>
  <c r="GO210" i="1"/>
  <c r="GV210" i="1"/>
  <c r="GX210" i="1"/>
  <c r="HC210" i="1"/>
  <c r="I211" i="1"/>
  <c r="AC211" i="1"/>
  <c r="AB211" i="1" s="1"/>
  <c r="AD211" i="1"/>
  <c r="AE211" i="1"/>
  <c r="CS211" i="1" s="1"/>
  <c r="R211" i="1" s="1"/>
  <c r="GK211" i="1" s="1"/>
  <c r="AF211" i="1"/>
  <c r="AG211" i="1"/>
  <c r="AH211" i="1"/>
  <c r="CV211" i="1" s="1"/>
  <c r="U211" i="1" s="1"/>
  <c r="AI211" i="1"/>
  <c r="CW211" i="1" s="1"/>
  <c r="V211" i="1" s="1"/>
  <c r="AJ211" i="1"/>
  <c r="CQ211" i="1"/>
  <c r="P211" i="1" s="1"/>
  <c r="CR211" i="1"/>
  <c r="Q211" i="1" s="1"/>
  <c r="CT211" i="1"/>
  <c r="S211" i="1" s="1"/>
  <c r="CU211" i="1"/>
  <c r="T211" i="1" s="1"/>
  <c r="CX211" i="1"/>
  <c r="W211" i="1" s="1"/>
  <c r="FR211" i="1"/>
  <c r="GL211" i="1"/>
  <c r="GN211" i="1"/>
  <c r="GO211" i="1"/>
  <c r="GV211" i="1"/>
  <c r="HC211" i="1" s="1"/>
  <c r="GX211" i="1" s="1"/>
  <c r="I212" i="1"/>
  <c r="AC212" i="1"/>
  <c r="CQ212" i="1" s="1"/>
  <c r="P212" i="1" s="1"/>
  <c r="AE212" i="1"/>
  <c r="AD212" i="1" s="1"/>
  <c r="AB212" i="1" s="1"/>
  <c r="AF212" i="1"/>
  <c r="CT212" i="1" s="1"/>
  <c r="S212" i="1" s="1"/>
  <c r="AG212" i="1"/>
  <c r="CU212" i="1" s="1"/>
  <c r="T212" i="1" s="1"/>
  <c r="AH212" i="1"/>
  <c r="AI212" i="1"/>
  <c r="AJ212" i="1"/>
  <c r="CX212" i="1" s="1"/>
  <c r="W212" i="1" s="1"/>
  <c r="CR212" i="1"/>
  <c r="Q212" i="1" s="1"/>
  <c r="CS212" i="1"/>
  <c r="R212" i="1" s="1"/>
  <c r="GK212" i="1" s="1"/>
  <c r="CV212" i="1"/>
  <c r="U212" i="1" s="1"/>
  <c r="CW212" i="1"/>
  <c r="V212" i="1" s="1"/>
  <c r="FR212" i="1"/>
  <c r="GL212" i="1"/>
  <c r="GN212" i="1"/>
  <c r="GO212" i="1"/>
  <c r="GV212" i="1"/>
  <c r="GX212" i="1"/>
  <c r="HC212" i="1"/>
  <c r="I213" i="1"/>
  <c r="AC213" i="1"/>
  <c r="AB213" i="1" s="1"/>
  <c r="AD213" i="1"/>
  <c r="AE213" i="1"/>
  <c r="AF213" i="1"/>
  <c r="AG213" i="1"/>
  <c r="AH213" i="1"/>
  <c r="CV213" i="1" s="1"/>
  <c r="U213" i="1" s="1"/>
  <c r="AI213" i="1"/>
  <c r="AJ213" i="1"/>
  <c r="CQ213" i="1"/>
  <c r="P213" i="1" s="1"/>
  <c r="CP213" i="1" s="1"/>
  <c r="O213" i="1" s="1"/>
  <c r="CR213" i="1"/>
  <c r="Q213" i="1" s="1"/>
  <c r="CS213" i="1"/>
  <c r="R213" i="1" s="1"/>
  <c r="GK213" i="1" s="1"/>
  <c r="CT213" i="1"/>
  <c r="S213" i="1" s="1"/>
  <c r="CU213" i="1"/>
  <c r="T213" i="1" s="1"/>
  <c r="CW213" i="1"/>
  <c r="V213" i="1" s="1"/>
  <c r="CX213" i="1"/>
  <c r="W213" i="1" s="1"/>
  <c r="FR213" i="1"/>
  <c r="GL213" i="1"/>
  <c r="GN213" i="1"/>
  <c r="GO213" i="1"/>
  <c r="GV213" i="1"/>
  <c r="HC213" i="1" s="1"/>
  <c r="GX213" i="1" s="1"/>
  <c r="I214" i="1"/>
  <c r="AC214" i="1"/>
  <c r="AD214" i="1"/>
  <c r="AE214" i="1"/>
  <c r="AF214" i="1"/>
  <c r="AB214" i="1" s="1"/>
  <c r="AG214" i="1"/>
  <c r="AH214" i="1"/>
  <c r="AI214" i="1"/>
  <c r="AJ214" i="1"/>
  <c r="CX214" i="1" s="1"/>
  <c r="W214" i="1" s="1"/>
  <c r="CQ214" i="1"/>
  <c r="P214" i="1" s="1"/>
  <c r="CR214" i="1"/>
  <c r="Q214" i="1" s="1"/>
  <c r="CS214" i="1"/>
  <c r="R214" i="1" s="1"/>
  <c r="GK214" i="1" s="1"/>
  <c r="CU214" i="1"/>
  <c r="T214" i="1" s="1"/>
  <c r="CV214" i="1"/>
  <c r="U214" i="1" s="1"/>
  <c r="CW214" i="1"/>
  <c r="V214" i="1" s="1"/>
  <c r="FR214" i="1"/>
  <c r="GL214" i="1"/>
  <c r="GN214" i="1"/>
  <c r="GO214" i="1"/>
  <c r="GV214" i="1"/>
  <c r="GX214" i="1"/>
  <c r="HC214" i="1"/>
  <c r="I215" i="1"/>
  <c r="AC215" i="1"/>
  <c r="AB215" i="1" s="1"/>
  <c r="AD215" i="1"/>
  <c r="AE215" i="1"/>
  <c r="AF215" i="1"/>
  <c r="AG215" i="1"/>
  <c r="AH215" i="1"/>
  <c r="CV215" i="1" s="1"/>
  <c r="U215" i="1" s="1"/>
  <c r="AI215" i="1"/>
  <c r="AJ215" i="1"/>
  <c r="CQ215" i="1"/>
  <c r="P215" i="1" s="1"/>
  <c r="CR215" i="1"/>
  <c r="Q215" i="1" s="1"/>
  <c r="CS215" i="1"/>
  <c r="R215" i="1" s="1"/>
  <c r="GK215" i="1" s="1"/>
  <c r="CT215" i="1"/>
  <c r="S215" i="1" s="1"/>
  <c r="CU215" i="1"/>
  <c r="T215" i="1" s="1"/>
  <c r="CW215" i="1"/>
  <c r="V215" i="1" s="1"/>
  <c r="CX215" i="1"/>
  <c r="W215" i="1" s="1"/>
  <c r="FR215" i="1"/>
  <c r="GL215" i="1"/>
  <c r="GN215" i="1"/>
  <c r="GO215" i="1"/>
  <c r="GV215" i="1"/>
  <c r="GX215" i="1"/>
  <c r="HC215" i="1"/>
  <c r="I216" i="1"/>
  <c r="AC216" i="1"/>
  <c r="AD216" i="1"/>
  <c r="AB216" i="1" s="1"/>
  <c r="AE216" i="1"/>
  <c r="AF216" i="1"/>
  <c r="AG216" i="1"/>
  <c r="AH216" i="1"/>
  <c r="AI216" i="1"/>
  <c r="AJ216" i="1"/>
  <c r="CQ216" i="1"/>
  <c r="P216" i="1" s="1"/>
  <c r="CP216" i="1" s="1"/>
  <c r="O216" i="1" s="1"/>
  <c r="CR216" i="1"/>
  <c r="Q216" i="1" s="1"/>
  <c r="CS216" i="1"/>
  <c r="R216" i="1" s="1"/>
  <c r="GK216" i="1" s="1"/>
  <c r="CT216" i="1"/>
  <c r="S216" i="1" s="1"/>
  <c r="CU216" i="1"/>
  <c r="T216" i="1" s="1"/>
  <c r="CV216" i="1"/>
  <c r="U216" i="1" s="1"/>
  <c r="CW216" i="1"/>
  <c r="V216" i="1" s="1"/>
  <c r="CX216" i="1"/>
  <c r="W216" i="1" s="1"/>
  <c r="FR216" i="1"/>
  <c r="GL216" i="1"/>
  <c r="GN216" i="1"/>
  <c r="GO216" i="1"/>
  <c r="GV216" i="1"/>
  <c r="GX216" i="1"/>
  <c r="HC216" i="1"/>
  <c r="I217" i="1"/>
  <c r="AC217" i="1"/>
  <c r="AB217" i="1" s="1"/>
  <c r="AE217" i="1"/>
  <c r="AD217" i="1" s="1"/>
  <c r="AF217" i="1"/>
  <c r="AG217" i="1"/>
  <c r="AH217" i="1"/>
  <c r="AI217" i="1"/>
  <c r="AJ217" i="1"/>
  <c r="CQ217" i="1"/>
  <c r="P217" i="1" s="1"/>
  <c r="CR217" i="1"/>
  <c r="Q217" i="1" s="1"/>
  <c r="CS217" i="1"/>
  <c r="R217" i="1" s="1"/>
  <c r="GK217" i="1" s="1"/>
  <c r="CT217" i="1"/>
  <c r="S217" i="1" s="1"/>
  <c r="CU217" i="1"/>
  <c r="T217" i="1" s="1"/>
  <c r="CV217" i="1"/>
  <c r="U217" i="1" s="1"/>
  <c r="CW217" i="1"/>
  <c r="V217" i="1" s="1"/>
  <c r="CX217" i="1"/>
  <c r="W217" i="1" s="1"/>
  <c r="FR217" i="1"/>
  <c r="GL217" i="1"/>
  <c r="GN217" i="1"/>
  <c r="GO217" i="1"/>
  <c r="GV217" i="1"/>
  <c r="HC217" i="1"/>
  <c r="GX217" i="1" s="1"/>
  <c r="I218" i="1"/>
  <c r="AC218" i="1"/>
  <c r="AB218" i="1" s="1"/>
  <c r="AD218" i="1"/>
  <c r="AE218" i="1"/>
  <c r="AF218" i="1"/>
  <c r="AG218" i="1"/>
  <c r="AH218" i="1"/>
  <c r="AI218" i="1"/>
  <c r="AJ218" i="1"/>
  <c r="CQ218" i="1"/>
  <c r="P218" i="1" s="1"/>
  <c r="CP218" i="1" s="1"/>
  <c r="O218" i="1" s="1"/>
  <c r="CR218" i="1"/>
  <c r="Q218" i="1" s="1"/>
  <c r="CS218" i="1"/>
  <c r="R218" i="1" s="1"/>
  <c r="GK218" i="1" s="1"/>
  <c r="CT218" i="1"/>
  <c r="S218" i="1" s="1"/>
  <c r="CU218" i="1"/>
  <c r="T218" i="1" s="1"/>
  <c r="CV218" i="1"/>
  <c r="U218" i="1" s="1"/>
  <c r="CW218" i="1"/>
  <c r="V218" i="1" s="1"/>
  <c r="CX218" i="1"/>
  <c r="W218" i="1" s="1"/>
  <c r="FR218" i="1"/>
  <c r="GL218" i="1"/>
  <c r="GN218" i="1"/>
  <c r="GO218" i="1"/>
  <c r="GV218" i="1"/>
  <c r="GX218" i="1"/>
  <c r="HC218" i="1"/>
  <c r="I219" i="1"/>
  <c r="AC219" i="1"/>
  <c r="AB219" i="1" s="1"/>
  <c r="AD219" i="1"/>
  <c r="AE219" i="1"/>
  <c r="AF219" i="1"/>
  <c r="AG219" i="1"/>
  <c r="AH219" i="1"/>
  <c r="AI219" i="1"/>
  <c r="AJ219" i="1"/>
  <c r="CQ219" i="1"/>
  <c r="P219" i="1" s="1"/>
  <c r="CP219" i="1" s="1"/>
  <c r="O219" i="1" s="1"/>
  <c r="CR219" i="1"/>
  <c r="Q219" i="1" s="1"/>
  <c r="CS219" i="1"/>
  <c r="R219" i="1" s="1"/>
  <c r="GK219" i="1" s="1"/>
  <c r="CT219" i="1"/>
  <c r="S219" i="1" s="1"/>
  <c r="CU219" i="1"/>
  <c r="T219" i="1" s="1"/>
  <c r="CV219" i="1"/>
  <c r="U219" i="1" s="1"/>
  <c r="CW219" i="1"/>
  <c r="V219" i="1" s="1"/>
  <c r="CX219" i="1"/>
  <c r="W219" i="1" s="1"/>
  <c r="FR219" i="1"/>
  <c r="GL219" i="1"/>
  <c r="GN219" i="1"/>
  <c r="GO219" i="1"/>
  <c r="GV219" i="1"/>
  <c r="GX219" i="1"/>
  <c r="HC219" i="1"/>
  <c r="I220" i="1"/>
  <c r="AC220" i="1"/>
  <c r="AB220" i="1" s="1"/>
  <c r="AD220" i="1"/>
  <c r="AE220" i="1"/>
  <c r="AF220" i="1"/>
  <c r="AG220" i="1"/>
  <c r="AH220" i="1"/>
  <c r="AI220" i="1"/>
  <c r="AJ220" i="1"/>
  <c r="CQ220" i="1"/>
  <c r="P220" i="1" s="1"/>
  <c r="CP220" i="1" s="1"/>
  <c r="O220" i="1" s="1"/>
  <c r="CR220" i="1"/>
  <c r="Q220" i="1" s="1"/>
  <c r="CS220" i="1"/>
  <c r="R220" i="1" s="1"/>
  <c r="GK220" i="1" s="1"/>
  <c r="CT220" i="1"/>
  <c r="S220" i="1" s="1"/>
  <c r="CU220" i="1"/>
  <c r="T220" i="1" s="1"/>
  <c r="CV220" i="1"/>
  <c r="U220" i="1" s="1"/>
  <c r="CW220" i="1"/>
  <c r="V220" i="1" s="1"/>
  <c r="CX220" i="1"/>
  <c r="W220" i="1" s="1"/>
  <c r="FR220" i="1"/>
  <c r="GL220" i="1"/>
  <c r="GN220" i="1"/>
  <c r="GO220" i="1"/>
  <c r="GV220" i="1"/>
  <c r="HC220" i="1"/>
  <c r="GX220" i="1" s="1"/>
  <c r="I221" i="1"/>
  <c r="AC221" i="1"/>
  <c r="AE221" i="1"/>
  <c r="AD221" i="1" s="1"/>
  <c r="AF221" i="1"/>
  <c r="AG221" i="1"/>
  <c r="AH221" i="1"/>
  <c r="AI221" i="1"/>
  <c r="AJ221" i="1"/>
  <c r="CQ221" i="1"/>
  <c r="P221" i="1" s="1"/>
  <c r="CP221" i="1" s="1"/>
  <c r="O221" i="1" s="1"/>
  <c r="CR221" i="1"/>
  <c r="Q221" i="1" s="1"/>
  <c r="CS221" i="1"/>
  <c r="R221" i="1" s="1"/>
  <c r="GK221" i="1" s="1"/>
  <c r="CT221" i="1"/>
  <c r="S221" i="1" s="1"/>
  <c r="CU221" i="1"/>
  <c r="T221" i="1" s="1"/>
  <c r="CV221" i="1"/>
  <c r="U221" i="1" s="1"/>
  <c r="CW221" i="1"/>
  <c r="V221" i="1" s="1"/>
  <c r="CX221" i="1"/>
  <c r="W221" i="1" s="1"/>
  <c r="FR221" i="1"/>
  <c r="GL221" i="1"/>
  <c r="GN221" i="1"/>
  <c r="GO221" i="1"/>
  <c r="GV221" i="1"/>
  <c r="HC221" i="1" s="1"/>
  <c r="GX221" i="1" s="1"/>
  <c r="I222" i="1"/>
  <c r="AC222" i="1"/>
  <c r="AD222" i="1"/>
  <c r="AB222" i="1" s="1"/>
  <c r="AE222" i="1"/>
  <c r="AF222" i="1"/>
  <c r="CT222" i="1" s="1"/>
  <c r="S222" i="1" s="1"/>
  <c r="AG222" i="1"/>
  <c r="AH222" i="1"/>
  <c r="CV222" i="1" s="1"/>
  <c r="U222" i="1" s="1"/>
  <c r="AI222" i="1"/>
  <c r="AJ222" i="1"/>
  <c r="CX222" i="1" s="1"/>
  <c r="W222" i="1" s="1"/>
  <c r="CQ222" i="1"/>
  <c r="P222" i="1" s="1"/>
  <c r="CR222" i="1"/>
  <c r="Q222" i="1" s="1"/>
  <c r="CS222" i="1"/>
  <c r="R222" i="1" s="1"/>
  <c r="GK222" i="1" s="1"/>
  <c r="CU222" i="1"/>
  <c r="T222" i="1" s="1"/>
  <c r="CW222" i="1"/>
  <c r="V222" i="1" s="1"/>
  <c r="FR222" i="1"/>
  <c r="GL222" i="1"/>
  <c r="GN222" i="1"/>
  <c r="GO222" i="1"/>
  <c r="GV222" i="1"/>
  <c r="HC222" i="1" s="1"/>
  <c r="GX222" i="1" s="1"/>
  <c r="I223" i="1"/>
  <c r="AC223" i="1"/>
  <c r="AD223" i="1"/>
  <c r="AE223" i="1"/>
  <c r="AF223" i="1"/>
  <c r="AB223" i="1" s="1"/>
  <c r="AG223" i="1"/>
  <c r="AH223" i="1"/>
  <c r="CV223" i="1" s="1"/>
  <c r="U223" i="1" s="1"/>
  <c r="AI223" i="1"/>
  <c r="AJ223" i="1"/>
  <c r="CX223" i="1" s="1"/>
  <c r="W223" i="1" s="1"/>
  <c r="CQ223" i="1"/>
  <c r="P223" i="1" s="1"/>
  <c r="CR223" i="1"/>
  <c r="Q223" i="1" s="1"/>
  <c r="CS223" i="1"/>
  <c r="R223" i="1" s="1"/>
  <c r="GK223" i="1" s="1"/>
  <c r="CU223" i="1"/>
  <c r="T223" i="1" s="1"/>
  <c r="CW223" i="1"/>
  <c r="V223" i="1" s="1"/>
  <c r="FR223" i="1"/>
  <c r="GL223" i="1"/>
  <c r="GN223" i="1"/>
  <c r="GO223" i="1"/>
  <c r="GV223" i="1"/>
  <c r="GX223" i="1"/>
  <c r="HC223" i="1"/>
  <c r="I224" i="1"/>
  <c r="AC224" i="1"/>
  <c r="AD224" i="1"/>
  <c r="AB224" i="1" s="1"/>
  <c r="AE224" i="1"/>
  <c r="AF224" i="1"/>
  <c r="CT224" i="1" s="1"/>
  <c r="S224" i="1" s="1"/>
  <c r="AG224" i="1"/>
  <c r="AH224" i="1"/>
  <c r="CV224" i="1" s="1"/>
  <c r="U224" i="1" s="1"/>
  <c r="AI224" i="1"/>
  <c r="AJ224" i="1"/>
  <c r="CX224" i="1" s="1"/>
  <c r="W224" i="1" s="1"/>
  <c r="CQ224" i="1"/>
  <c r="P224" i="1" s="1"/>
  <c r="CR224" i="1"/>
  <c r="Q224" i="1" s="1"/>
  <c r="CS224" i="1"/>
  <c r="R224" i="1" s="1"/>
  <c r="GK224" i="1" s="1"/>
  <c r="CU224" i="1"/>
  <c r="T224" i="1" s="1"/>
  <c r="CW224" i="1"/>
  <c r="V224" i="1" s="1"/>
  <c r="FR224" i="1"/>
  <c r="GL224" i="1"/>
  <c r="GN224" i="1"/>
  <c r="GO224" i="1"/>
  <c r="GV224" i="1"/>
  <c r="HC224" i="1" s="1"/>
  <c r="GX224" i="1" s="1"/>
  <c r="I225" i="1"/>
  <c r="AC225" i="1"/>
  <c r="AD225" i="1"/>
  <c r="AE225" i="1"/>
  <c r="AF225" i="1"/>
  <c r="AB225" i="1" s="1"/>
  <c r="AG225" i="1"/>
  <c r="AH225" i="1"/>
  <c r="CV225" i="1" s="1"/>
  <c r="U225" i="1" s="1"/>
  <c r="AI225" i="1"/>
  <c r="AJ225" i="1"/>
  <c r="CX225" i="1" s="1"/>
  <c r="W225" i="1" s="1"/>
  <c r="CQ225" i="1"/>
  <c r="P225" i="1" s="1"/>
  <c r="CR225" i="1"/>
  <c r="Q225" i="1" s="1"/>
  <c r="CS225" i="1"/>
  <c r="R225" i="1" s="1"/>
  <c r="GK225" i="1" s="1"/>
  <c r="CU225" i="1"/>
  <c r="T225" i="1" s="1"/>
  <c r="CW225" i="1"/>
  <c r="V225" i="1" s="1"/>
  <c r="FR225" i="1"/>
  <c r="GL225" i="1"/>
  <c r="GN225" i="1"/>
  <c r="GO225" i="1"/>
  <c r="GV225" i="1"/>
  <c r="GX225" i="1"/>
  <c r="HC225" i="1"/>
  <c r="I226" i="1"/>
  <c r="AC226" i="1"/>
  <c r="AD226" i="1"/>
  <c r="AB226" i="1" s="1"/>
  <c r="AE226" i="1"/>
  <c r="AF226" i="1"/>
  <c r="CT226" i="1" s="1"/>
  <c r="S226" i="1" s="1"/>
  <c r="AG226" i="1"/>
  <c r="AH226" i="1"/>
  <c r="CV226" i="1" s="1"/>
  <c r="U226" i="1" s="1"/>
  <c r="AI226" i="1"/>
  <c r="AJ226" i="1"/>
  <c r="CX226" i="1" s="1"/>
  <c r="W226" i="1" s="1"/>
  <c r="CQ226" i="1"/>
  <c r="P226" i="1" s="1"/>
  <c r="CR226" i="1"/>
  <c r="Q226" i="1" s="1"/>
  <c r="CS226" i="1"/>
  <c r="R226" i="1" s="1"/>
  <c r="GK226" i="1" s="1"/>
  <c r="CU226" i="1"/>
  <c r="T226" i="1" s="1"/>
  <c r="CW226" i="1"/>
  <c r="V226" i="1" s="1"/>
  <c r="FR226" i="1"/>
  <c r="GL226" i="1"/>
  <c r="GN226" i="1"/>
  <c r="GO226" i="1"/>
  <c r="GV226" i="1"/>
  <c r="HC226" i="1" s="1"/>
  <c r="GX226" i="1" s="1"/>
  <c r="I227" i="1"/>
  <c r="AC227" i="1"/>
  <c r="AD227" i="1"/>
  <c r="AE227" i="1"/>
  <c r="AF227" i="1"/>
  <c r="AB227" i="1" s="1"/>
  <c r="AG227" i="1"/>
  <c r="AH227" i="1"/>
  <c r="CV227" i="1" s="1"/>
  <c r="U227" i="1" s="1"/>
  <c r="AI227" i="1"/>
  <c r="AJ227" i="1"/>
  <c r="CX227" i="1" s="1"/>
  <c r="W227" i="1" s="1"/>
  <c r="CQ227" i="1"/>
  <c r="P227" i="1" s="1"/>
  <c r="CR227" i="1"/>
  <c r="Q227" i="1" s="1"/>
  <c r="CS227" i="1"/>
  <c r="R227" i="1" s="1"/>
  <c r="GK227" i="1" s="1"/>
  <c r="CU227" i="1"/>
  <c r="T227" i="1" s="1"/>
  <c r="CW227" i="1"/>
  <c r="V227" i="1" s="1"/>
  <c r="FR227" i="1"/>
  <c r="GL227" i="1"/>
  <c r="GN227" i="1"/>
  <c r="GO227" i="1"/>
  <c r="GV227" i="1"/>
  <c r="GX227" i="1"/>
  <c r="HC227" i="1"/>
  <c r="I228" i="1"/>
  <c r="AC228" i="1"/>
  <c r="AD228" i="1"/>
  <c r="AB228" i="1" s="1"/>
  <c r="AE228" i="1"/>
  <c r="AF228" i="1"/>
  <c r="CT228" i="1" s="1"/>
  <c r="S228" i="1" s="1"/>
  <c r="AG228" i="1"/>
  <c r="AH228" i="1"/>
  <c r="CV228" i="1" s="1"/>
  <c r="U228" i="1" s="1"/>
  <c r="AI228" i="1"/>
  <c r="AJ228" i="1"/>
  <c r="CX228" i="1" s="1"/>
  <c r="W228" i="1" s="1"/>
  <c r="CQ228" i="1"/>
  <c r="P228" i="1" s="1"/>
  <c r="CR228" i="1"/>
  <c r="Q228" i="1" s="1"/>
  <c r="CS228" i="1"/>
  <c r="R228" i="1" s="1"/>
  <c r="GK228" i="1" s="1"/>
  <c r="CU228" i="1"/>
  <c r="T228" i="1" s="1"/>
  <c r="CW228" i="1"/>
  <c r="V228" i="1" s="1"/>
  <c r="FR228" i="1"/>
  <c r="GL228" i="1"/>
  <c r="GN228" i="1"/>
  <c r="GO228" i="1"/>
  <c r="GV228" i="1"/>
  <c r="HC228" i="1" s="1"/>
  <c r="GX228" i="1" s="1"/>
  <c r="B230" i="1"/>
  <c r="B197" i="1" s="1"/>
  <c r="C230" i="1"/>
  <c r="C197" i="1" s="1"/>
  <c r="D230" i="1"/>
  <c r="D197" i="1" s="1"/>
  <c r="F230" i="1"/>
  <c r="F197" i="1" s="1"/>
  <c r="G230" i="1"/>
  <c r="G197" i="1" s="1"/>
  <c r="BX230" i="1"/>
  <c r="BX197" i="1" s="1"/>
  <c r="BY230" i="1"/>
  <c r="BY197" i="1" s="1"/>
  <c r="BZ230" i="1"/>
  <c r="BZ197" i="1" s="1"/>
  <c r="CB230" i="1"/>
  <c r="CB197" i="1" s="1"/>
  <c r="CC230" i="1"/>
  <c r="CC197" i="1" s="1"/>
  <c r="CG230" i="1"/>
  <c r="CG197" i="1" s="1"/>
  <c r="CK230" i="1"/>
  <c r="CK197" i="1" s="1"/>
  <c r="CL230" i="1"/>
  <c r="CL197" i="1" s="1"/>
  <c r="CM230" i="1"/>
  <c r="CM197" i="1" s="1"/>
  <c r="B260" i="1"/>
  <c r="B156" i="1" s="1"/>
  <c r="C260" i="1"/>
  <c r="C156" i="1" s="1"/>
  <c r="D260" i="1"/>
  <c r="D156" i="1" s="1"/>
  <c r="F260" i="1"/>
  <c r="F156" i="1" s="1"/>
  <c r="G260" i="1"/>
  <c r="G156" i="1" s="1"/>
  <c r="D290" i="1"/>
  <c r="E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DD292" i="1"/>
  <c r="DE292" i="1"/>
  <c r="DF292" i="1"/>
  <c r="DG292" i="1"/>
  <c r="DH292" i="1"/>
  <c r="DI292" i="1"/>
  <c r="DJ292" i="1"/>
  <c r="DK292" i="1"/>
  <c r="DL292" i="1"/>
  <c r="DM292" i="1"/>
  <c r="DN292" i="1"/>
  <c r="DO292" i="1"/>
  <c r="DP292" i="1"/>
  <c r="DQ292" i="1"/>
  <c r="DR292" i="1"/>
  <c r="DS292" i="1"/>
  <c r="DT292" i="1"/>
  <c r="DU292" i="1"/>
  <c r="DV292" i="1"/>
  <c r="DW292" i="1"/>
  <c r="DX292" i="1"/>
  <c r="DY292" i="1"/>
  <c r="DZ292" i="1"/>
  <c r="EA292" i="1"/>
  <c r="EB292" i="1"/>
  <c r="EC292" i="1"/>
  <c r="ED292" i="1"/>
  <c r="EE292" i="1"/>
  <c r="EF292" i="1"/>
  <c r="EG292" i="1"/>
  <c r="EH292" i="1"/>
  <c r="EI292" i="1"/>
  <c r="EJ292" i="1"/>
  <c r="EK292" i="1"/>
  <c r="EL292" i="1"/>
  <c r="EM292" i="1"/>
  <c r="EN292" i="1"/>
  <c r="EO292" i="1"/>
  <c r="EP292" i="1"/>
  <c r="EQ292" i="1"/>
  <c r="ER292" i="1"/>
  <c r="ES292" i="1"/>
  <c r="ET292" i="1"/>
  <c r="EU292" i="1"/>
  <c r="EV292" i="1"/>
  <c r="EW292" i="1"/>
  <c r="EX292" i="1"/>
  <c r="EY292" i="1"/>
  <c r="EZ292" i="1"/>
  <c r="FA292" i="1"/>
  <c r="FB292" i="1"/>
  <c r="FC292" i="1"/>
  <c r="FD292" i="1"/>
  <c r="FE292" i="1"/>
  <c r="FF292" i="1"/>
  <c r="FG292" i="1"/>
  <c r="FH292" i="1"/>
  <c r="FI292" i="1"/>
  <c r="FJ292" i="1"/>
  <c r="FK292" i="1"/>
  <c r="FL292" i="1"/>
  <c r="FM292" i="1"/>
  <c r="FN292" i="1"/>
  <c r="FO292" i="1"/>
  <c r="FP292" i="1"/>
  <c r="FQ292" i="1"/>
  <c r="FR292" i="1"/>
  <c r="FS292" i="1"/>
  <c r="FT292" i="1"/>
  <c r="FU292" i="1"/>
  <c r="FV292" i="1"/>
  <c r="FW292" i="1"/>
  <c r="FX292" i="1"/>
  <c r="FY292" i="1"/>
  <c r="FZ292" i="1"/>
  <c r="GA292" i="1"/>
  <c r="GB292" i="1"/>
  <c r="GC292" i="1"/>
  <c r="GD292" i="1"/>
  <c r="GE292" i="1"/>
  <c r="GF292" i="1"/>
  <c r="GG292" i="1"/>
  <c r="GH292" i="1"/>
  <c r="GI292" i="1"/>
  <c r="GJ292" i="1"/>
  <c r="GK292" i="1"/>
  <c r="GL292" i="1"/>
  <c r="GM292" i="1"/>
  <c r="GN292" i="1"/>
  <c r="GO292" i="1"/>
  <c r="GP292" i="1"/>
  <c r="GQ292" i="1"/>
  <c r="GR292" i="1"/>
  <c r="GS292" i="1"/>
  <c r="GT292" i="1"/>
  <c r="GU292" i="1"/>
  <c r="GV292" i="1"/>
  <c r="GW292" i="1"/>
  <c r="GX292" i="1"/>
  <c r="D294" i="1"/>
  <c r="E296" i="1"/>
  <c r="Z296" i="1"/>
  <c r="AA296" i="1"/>
  <c r="AM296" i="1"/>
  <c r="AN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DD296" i="1"/>
  <c r="DE296" i="1"/>
  <c r="DF296" i="1"/>
  <c r="DG296" i="1"/>
  <c r="DH296" i="1"/>
  <c r="DI296" i="1"/>
  <c r="DJ296" i="1"/>
  <c r="DK296" i="1"/>
  <c r="DL296" i="1"/>
  <c r="DM296" i="1"/>
  <c r="DN296" i="1"/>
  <c r="DO296" i="1"/>
  <c r="DP296" i="1"/>
  <c r="DQ296" i="1"/>
  <c r="DR296" i="1"/>
  <c r="DS296" i="1"/>
  <c r="DT296" i="1"/>
  <c r="DU296" i="1"/>
  <c r="DV296" i="1"/>
  <c r="DW296" i="1"/>
  <c r="DX296" i="1"/>
  <c r="DY296" i="1"/>
  <c r="DZ296" i="1"/>
  <c r="EA296" i="1"/>
  <c r="EB296" i="1"/>
  <c r="EC296" i="1"/>
  <c r="ED296" i="1"/>
  <c r="EE296" i="1"/>
  <c r="EF296" i="1"/>
  <c r="EG296" i="1"/>
  <c r="EH296" i="1"/>
  <c r="EI296" i="1"/>
  <c r="EJ296" i="1"/>
  <c r="EK296" i="1"/>
  <c r="EL296" i="1"/>
  <c r="EM296" i="1"/>
  <c r="EN296" i="1"/>
  <c r="EO296" i="1"/>
  <c r="EP296" i="1"/>
  <c r="EQ296" i="1"/>
  <c r="ER296" i="1"/>
  <c r="ES296" i="1"/>
  <c r="ET296" i="1"/>
  <c r="EU296" i="1"/>
  <c r="EV296" i="1"/>
  <c r="EW296" i="1"/>
  <c r="EX296" i="1"/>
  <c r="EY296" i="1"/>
  <c r="EZ296" i="1"/>
  <c r="FA296" i="1"/>
  <c r="FB296" i="1"/>
  <c r="FC296" i="1"/>
  <c r="FD296" i="1"/>
  <c r="FE296" i="1"/>
  <c r="FF296" i="1"/>
  <c r="FG296" i="1"/>
  <c r="FH296" i="1"/>
  <c r="FI296" i="1"/>
  <c r="FJ296" i="1"/>
  <c r="FK296" i="1"/>
  <c r="FL296" i="1"/>
  <c r="FM296" i="1"/>
  <c r="FN296" i="1"/>
  <c r="FO296" i="1"/>
  <c r="FP296" i="1"/>
  <c r="FQ296" i="1"/>
  <c r="FR296" i="1"/>
  <c r="FS296" i="1"/>
  <c r="FT296" i="1"/>
  <c r="FU296" i="1"/>
  <c r="FV296" i="1"/>
  <c r="FW296" i="1"/>
  <c r="FX296" i="1"/>
  <c r="FY296" i="1"/>
  <c r="FZ296" i="1"/>
  <c r="GA296" i="1"/>
  <c r="GB296" i="1"/>
  <c r="GC296" i="1"/>
  <c r="GD296" i="1"/>
  <c r="GE296" i="1"/>
  <c r="GF296" i="1"/>
  <c r="GG296" i="1"/>
  <c r="GH296" i="1"/>
  <c r="GI296" i="1"/>
  <c r="GJ296" i="1"/>
  <c r="GK296" i="1"/>
  <c r="GL296" i="1"/>
  <c r="GM296" i="1"/>
  <c r="GN296" i="1"/>
  <c r="GO296" i="1"/>
  <c r="GP296" i="1"/>
  <c r="GQ296" i="1"/>
  <c r="GR296" i="1"/>
  <c r="GS296" i="1"/>
  <c r="GT296" i="1"/>
  <c r="GU296" i="1"/>
  <c r="GV296" i="1"/>
  <c r="GW296" i="1"/>
  <c r="GX296" i="1"/>
  <c r="C298" i="1"/>
  <c r="D298" i="1"/>
  <c r="I298" i="1"/>
  <c r="AC298" i="1"/>
  <c r="AE298" i="1"/>
  <c r="CS298" i="1" s="1"/>
  <c r="R298" i="1" s="1"/>
  <c r="AF298" i="1"/>
  <c r="AG298" i="1"/>
  <c r="CU298" i="1" s="1"/>
  <c r="T298" i="1" s="1"/>
  <c r="AH298" i="1"/>
  <c r="AI298" i="1"/>
  <c r="CW298" i="1" s="1"/>
  <c r="V298" i="1" s="1"/>
  <c r="AJ298" i="1"/>
  <c r="CR298" i="1"/>
  <c r="Q298" i="1" s="1"/>
  <c r="CT298" i="1"/>
  <c r="S298" i="1" s="1"/>
  <c r="CV298" i="1"/>
  <c r="U298" i="1" s="1"/>
  <c r="CX298" i="1"/>
  <c r="W298" i="1" s="1"/>
  <c r="FR298" i="1"/>
  <c r="GL298" i="1"/>
  <c r="GN298" i="1"/>
  <c r="GO298" i="1"/>
  <c r="GV298" i="1"/>
  <c r="HC298" i="1" s="1"/>
  <c r="GX298" i="1" s="1"/>
  <c r="C299" i="1"/>
  <c r="D299" i="1"/>
  <c r="AC299" i="1"/>
  <c r="AD299" i="1"/>
  <c r="AE299" i="1"/>
  <c r="AF299" i="1"/>
  <c r="AB299" i="1" s="1"/>
  <c r="AG299" i="1"/>
  <c r="AH299" i="1"/>
  <c r="CV299" i="1" s="1"/>
  <c r="U299" i="1" s="1"/>
  <c r="AI299" i="1"/>
  <c r="AJ299" i="1"/>
  <c r="CX299" i="1" s="1"/>
  <c r="W299" i="1" s="1"/>
  <c r="CQ299" i="1"/>
  <c r="P299" i="1" s="1"/>
  <c r="CR299" i="1"/>
  <c r="Q299" i="1" s="1"/>
  <c r="CS299" i="1"/>
  <c r="R299" i="1" s="1"/>
  <c r="GK299" i="1" s="1"/>
  <c r="CU299" i="1"/>
  <c r="T299" i="1" s="1"/>
  <c r="CW299" i="1"/>
  <c r="V299" i="1" s="1"/>
  <c r="FR299" i="1"/>
  <c r="GL299" i="1"/>
  <c r="GN299" i="1"/>
  <c r="GO299" i="1"/>
  <c r="GV299" i="1"/>
  <c r="GX299" i="1"/>
  <c r="HC299" i="1"/>
  <c r="C300" i="1"/>
  <c r="D300" i="1"/>
  <c r="AC300" i="1"/>
  <c r="CQ300" i="1" s="1"/>
  <c r="P300" i="1" s="1"/>
  <c r="AE300" i="1"/>
  <c r="AD300" i="1" s="1"/>
  <c r="AF300" i="1"/>
  <c r="AG300" i="1"/>
  <c r="CU300" i="1" s="1"/>
  <c r="T300" i="1" s="1"/>
  <c r="AH300" i="1"/>
  <c r="AI300" i="1"/>
  <c r="CW300" i="1" s="1"/>
  <c r="V300" i="1" s="1"/>
  <c r="AJ300" i="1"/>
  <c r="CR300" i="1"/>
  <c r="Q300" i="1" s="1"/>
  <c r="CT300" i="1"/>
  <c r="S300" i="1" s="1"/>
  <c r="CV300" i="1"/>
  <c r="U300" i="1" s="1"/>
  <c r="CX300" i="1"/>
  <c r="W300" i="1" s="1"/>
  <c r="FR300" i="1"/>
  <c r="GL300" i="1"/>
  <c r="GN300" i="1"/>
  <c r="GO300" i="1"/>
  <c r="GV300" i="1"/>
  <c r="HC300" i="1"/>
  <c r="GX300" i="1" s="1"/>
  <c r="C301" i="1"/>
  <c r="D301" i="1"/>
  <c r="I301" i="1"/>
  <c r="AC301" i="1"/>
  <c r="CQ301" i="1" s="1"/>
  <c r="P301" i="1" s="1"/>
  <c r="AE301" i="1"/>
  <c r="AD301" i="1" s="1"/>
  <c r="AF301" i="1"/>
  <c r="AG301" i="1"/>
  <c r="CU301" i="1" s="1"/>
  <c r="T301" i="1" s="1"/>
  <c r="AH301" i="1"/>
  <c r="AI301" i="1"/>
  <c r="CW301" i="1" s="1"/>
  <c r="V301" i="1" s="1"/>
  <c r="AJ301" i="1"/>
  <c r="CR301" i="1"/>
  <c r="Q301" i="1" s="1"/>
  <c r="CT301" i="1"/>
  <c r="S301" i="1" s="1"/>
  <c r="CV301" i="1"/>
  <c r="U301" i="1" s="1"/>
  <c r="CX301" i="1"/>
  <c r="W301" i="1" s="1"/>
  <c r="FR301" i="1"/>
  <c r="GL301" i="1"/>
  <c r="GN301" i="1"/>
  <c r="GO301" i="1"/>
  <c r="CC303" i="1" s="1"/>
  <c r="GV301" i="1"/>
  <c r="HC301" i="1"/>
  <c r="GX301" i="1" s="1"/>
  <c r="B303" i="1"/>
  <c r="B296" i="1" s="1"/>
  <c r="C303" i="1"/>
  <c r="C296" i="1" s="1"/>
  <c r="D303" i="1"/>
  <c r="D296" i="1" s="1"/>
  <c r="F303" i="1"/>
  <c r="F296" i="1" s="1"/>
  <c r="G303" i="1"/>
  <c r="G296" i="1" s="1"/>
  <c r="BX303" i="1"/>
  <c r="BX296" i="1" s="1"/>
  <c r="BY303" i="1"/>
  <c r="BY296" i="1" s="1"/>
  <c r="BZ303" i="1"/>
  <c r="BZ296" i="1" s="1"/>
  <c r="CB303" i="1"/>
  <c r="CB296" i="1" s="1"/>
  <c r="CK303" i="1"/>
  <c r="CK296" i="1" s="1"/>
  <c r="CL303" i="1"/>
  <c r="CL296" i="1" s="1"/>
  <c r="CM303" i="1"/>
  <c r="CM296" i="1" s="1"/>
  <c r="D333" i="1"/>
  <c r="E335" i="1"/>
  <c r="Z335" i="1"/>
  <c r="AA335" i="1"/>
  <c r="AM335" i="1"/>
  <c r="AN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CN335" i="1"/>
  <c r="CO335" i="1"/>
  <c r="CP335" i="1"/>
  <c r="CQ335" i="1"/>
  <c r="CR335" i="1"/>
  <c r="CS335" i="1"/>
  <c r="CT335" i="1"/>
  <c r="CU335" i="1"/>
  <c r="CV335" i="1"/>
  <c r="CW335" i="1"/>
  <c r="CX335" i="1"/>
  <c r="CY335" i="1"/>
  <c r="CZ335" i="1"/>
  <c r="DA335" i="1"/>
  <c r="DB335" i="1"/>
  <c r="DC335" i="1"/>
  <c r="DD335" i="1"/>
  <c r="DE335" i="1"/>
  <c r="DF335" i="1"/>
  <c r="DG335" i="1"/>
  <c r="DH335" i="1"/>
  <c r="DI335" i="1"/>
  <c r="DJ335" i="1"/>
  <c r="DK335" i="1"/>
  <c r="DL335" i="1"/>
  <c r="DM335" i="1"/>
  <c r="DN335" i="1"/>
  <c r="DO335" i="1"/>
  <c r="DP335" i="1"/>
  <c r="DQ335" i="1"/>
  <c r="DR335" i="1"/>
  <c r="DS335" i="1"/>
  <c r="DT335" i="1"/>
  <c r="DU335" i="1"/>
  <c r="DV335" i="1"/>
  <c r="DW335" i="1"/>
  <c r="DX335" i="1"/>
  <c r="DY335" i="1"/>
  <c r="DZ335" i="1"/>
  <c r="EA335" i="1"/>
  <c r="EB335" i="1"/>
  <c r="EC335" i="1"/>
  <c r="ED335" i="1"/>
  <c r="EE335" i="1"/>
  <c r="EF335" i="1"/>
  <c r="EG335" i="1"/>
  <c r="EH335" i="1"/>
  <c r="EI335" i="1"/>
  <c r="EJ335" i="1"/>
  <c r="EK335" i="1"/>
  <c r="EL335" i="1"/>
  <c r="EM335" i="1"/>
  <c r="EN335" i="1"/>
  <c r="EO335" i="1"/>
  <c r="EP335" i="1"/>
  <c r="EQ335" i="1"/>
  <c r="ER335" i="1"/>
  <c r="ES335" i="1"/>
  <c r="ET335" i="1"/>
  <c r="EU335" i="1"/>
  <c r="EV335" i="1"/>
  <c r="EW335" i="1"/>
  <c r="EX335" i="1"/>
  <c r="EY335" i="1"/>
  <c r="EZ335" i="1"/>
  <c r="FA335" i="1"/>
  <c r="FB335" i="1"/>
  <c r="FC335" i="1"/>
  <c r="FD335" i="1"/>
  <c r="FE335" i="1"/>
  <c r="FF335" i="1"/>
  <c r="FG335" i="1"/>
  <c r="FH335" i="1"/>
  <c r="FI335" i="1"/>
  <c r="FJ335" i="1"/>
  <c r="FK335" i="1"/>
  <c r="FL335" i="1"/>
  <c r="FM335" i="1"/>
  <c r="FN335" i="1"/>
  <c r="FO335" i="1"/>
  <c r="FP335" i="1"/>
  <c r="FQ335" i="1"/>
  <c r="FR335" i="1"/>
  <c r="FS335" i="1"/>
  <c r="FT335" i="1"/>
  <c r="FU335" i="1"/>
  <c r="FV335" i="1"/>
  <c r="FW335" i="1"/>
  <c r="FX335" i="1"/>
  <c r="FY335" i="1"/>
  <c r="FZ335" i="1"/>
  <c r="GA335" i="1"/>
  <c r="GB335" i="1"/>
  <c r="GC335" i="1"/>
  <c r="GD335" i="1"/>
  <c r="GE335" i="1"/>
  <c r="GF335" i="1"/>
  <c r="GG335" i="1"/>
  <c r="GH335" i="1"/>
  <c r="GI335" i="1"/>
  <c r="GJ335" i="1"/>
  <c r="GK335" i="1"/>
  <c r="GL335" i="1"/>
  <c r="GM335" i="1"/>
  <c r="GN335" i="1"/>
  <c r="GO335" i="1"/>
  <c r="GP335" i="1"/>
  <c r="GQ335" i="1"/>
  <c r="GR335" i="1"/>
  <c r="GS335" i="1"/>
  <c r="GT335" i="1"/>
  <c r="GU335" i="1"/>
  <c r="GV335" i="1"/>
  <c r="GW335" i="1"/>
  <c r="GX335" i="1"/>
  <c r="C337" i="1"/>
  <c r="D337" i="1"/>
  <c r="I337" i="1"/>
  <c r="AC337" i="1"/>
  <c r="AE337" i="1"/>
  <c r="CS337" i="1" s="1"/>
  <c r="R337" i="1" s="1"/>
  <c r="AF337" i="1"/>
  <c r="AG337" i="1"/>
  <c r="AH337" i="1"/>
  <c r="AI337" i="1"/>
  <c r="CW337" i="1" s="1"/>
  <c r="V337" i="1" s="1"/>
  <c r="AJ337" i="1"/>
  <c r="CQ337" i="1"/>
  <c r="P337" i="1" s="1"/>
  <c r="CR337" i="1"/>
  <c r="Q337" i="1" s="1"/>
  <c r="CT337" i="1"/>
  <c r="CU337" i="1"/>
  <c r="T337" i="1" s="1"/>
  <c r="CV337" i="1"/>
  <c r="U337" i="1" s="1"/>
  <c r="CX337" i="1"/>
  <c r="W337" i="1" s="1"/>
  <c r="FR337" i="1"/>
  <c r="GL337" i="1"/>
  <c r="GN337" i="1"/>
  <c r="GO337" i="1"/>
  <c r="GV337" i="1"/>
  <c r="HC337" i="1" s="1"/>
  <c r="GX337" i="1" s="1"/>
  <c r="C338" i="1"/>
  <c r="D338" i="1"/>
  <c r="I338" i="1"/>
  <c r="AC338" i="1"/>
  <c r="AE338" i="1"/>
  <c r="CS338" i="1" s="1"/>
  <c r="R338" i="1" s="1"/>
  <c r="GK338" i="1" s="1"/>
  <c r="AF338" i="1"/>
  <c r="AG338" i="1"/>
  <c r="AH338" i="1"/>
  <c r="AI338" i="1"/>
  <c r="CW338" i="1" s="1"/>
  <c r="V338" i="1" s="1"/>
  <c r="AJ338" i="1"/>
  <c r="CQ338" i="1"/>
  <c r="P338" i="1" s="1"/>
  <c r="CR338" i="1"/>
  <c r="Q338" i="1" s="1"/>
  <c r="CT338" i="1"/>
  <c r="S338" i="1" s="1"/>
  <c r="CU338" i="1"/>
  <c r="T338" i="1" s="1"/>
  <c r="CV338" i="1"/>
  <c r="U338" i="1" s="1"/>
  <c r="CX338" i="1"/>
  <c r="W338" i="1" s="1"/>
  <c r="FR338" i="1"/>
  <c r="GL338" i="1"/>
  <c r="GN338" i="1"/>
  <c r="GO338" i="1"/>
  <c r="GV338" i="1"/>
  <c r="HC338" i="1" s="1"/>
  <c r="GX338" i="1" s="1"/>
  <c r="C339" i="1"/>
  <c r="D339" i="1"/>
  <c r="AC339" i="1"/>
  <c r="AE339" i="1"/>
  <c r="AD339" i="1" s="1"/>
  <c r="AB339" i="1" s="1"/>
  <c r="AF339" i="1"/>
  <c r="CT339" i="1" s="1"/>
  <c r="S339" i="1" s="1"/>
  <c r="AG339" i="1"/>
  <c r="AH339" i="1"/>
  <c r="AI339" i="1"/>
  <c r="AJ339" i="1"/>
  <c r="CX339" i="1" s="1"/>
  <c r="W339" i="1" s="1"/>
  <c r="CQ339" i="1"/>
  <c r="P339" i="1" s="1"/>
  <c r="CR339" i="1"/>
  <c r="Q339" i="1" s="1"/>
  <c r="CS339" i="1"/>
  <c r="R339" i="1" s="1"/>
  <c r="GK339" i="1" s="1"/>
  <c r="CU339" i="1"/>
  <c r="T339" i="1" s="1"/>
  <c r="CV339" i="1"/>
  <c r="U339" i="1" s="1"/>
  <c r="CW339" i="1"/>
  <c r="V339" i="1" s="1"/>
  <c r="FR339" i="1"/>
  <c r="GL339" i="1"/>
  <c r="GN339" i="1"/>
  <c r="GO339" i="1"/>
  <c r="GV339" i="1"/>
  <c r="HC339" i="1" s="1"/>
  <c r="GX339" i="1" s="1"/>
  <c r="I340" i="1"/>
  <c r="AC340" i="1"/>
  <c r="AB340" i="1" s="1"/>
  <c r="AD340" i="1"/>
  <c r="AE340" i="1"/>
  <c r="AF340" i="1"/>
  <c r="AG340" i="1"/>
  <c r="AH340" i="1"/>
  <c r="CV340" i="1" s="1"/>
  <c r="U340" i="1" s="1"/>
  <c r="AI340" i="1"/>
  <c r="AJ340" i="1"/>
  <c r="CQ340" i="1"/>
  <c r="P340" i="1" s="1"/>
  <c r="CR340" i="1"/>
  <c r="Q340" i="1" s="1"/>
  <c r="CS340" i="1"/>
  <c r="R340" i="1" s="1"/>
  <c r="GK340" i="1" s="1"/>
  <c r="CT340" i="1"/>
  <c r="S340" i="1" s="1"/>
  <c r="CU340" i="1"/>
  <c r="T340" i="1" s="1"/>
  <c r="CW340" i="1"/>
  <c r="V340" i="1" s="1"/>
  <c r="CX340" i="1"/>
  <c r="W340" i="1" s="1"/>
  <c r="FR340" i="1"/>
  <c r="GL340" i="1"/>
  <c r="BZ342" i="1" s="1"/>
  <c r="GN340" i="1"/>
  <c r="GO340" i="1"/>
  <c r="GV340" i="1"/>
  <c r="HC340" i="1"/>
  <c r="GX340" i="1" s="1"/>
  <c r="B342" i="1"/>
  <c r="B335" i="1" s="1"/>
  <c r="C342" i="1"/>
  <c r="C335" i="1" s="1"/>
  <c r="D342" i="1"/>
  <c r="D335" i="1" s="1"/>
  <c r="F342" i="1"/>
  <c r="F335" i="1" s="1"/>
  <c r="G342" i="1"/>
  <c r="G335" i="1" s="1"/>
  <c r="BX342" i="1"/>
  <c r="BX335" i="1" s="1"/>
  <c r="BY342" i="1"/>
  <c r="BY335" i="1" s="1"/>
  <c r="CB342" i="1"/>
  <c r="CB335" i="1" s="1"/>
  <c r="CC342" i="1"/>
  <c r="CC335" i="1" s="1"/>
  <c r="CK342" i="1"/>
  <c r="CK335" i="1" s="1"/>
  <c r="CL342" i="1"/>
  <c r="CL335" i="1" s="1"/>
  <c r="CM342" i="1"/>
  <c r="CM335" i="1" s="1"/>
  <c r="B372" i="1"/>
  <c r="B292" i="1" s="1"/>
  <c r="C372" i="1"/>
  <c r="C292" i="1" s="1"/>
  <c r="D372" i="1"/>
  <c r="D292" i="1" s="1"/>
  <c r="F372" i="1"/>
  <c r="F292" i="1" s="1"/>
  <c r="G372" i="1"/>
  <c r="G292" i="1" s="1"/>
  <c r="D402" i="1"/>
  <c r="E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CS404" i="1"/>
  <c r="CT404" i="1"/>
  <c r="CU404" i="1"/>
  <c r="CV404" i="1"/>
  <c r="CW404" i="1"/>
  <c r="CX404" i="1"/>
  <c r="CY404" i="1"/>
  <c r="CZ404" i="1"/>
  <c r="DA404" i="1"/>
  <c r="DB404" i="1"/>
  <c r="DC404" i="1"/>
  <c r="DD404" i="1"/>
  <c r="DE404" i="1"/>
  <c r="DF404" i="1"/>
  <c r="DG404" i="1"/>
  <c r="DH404" i="1"/>
  <c r="DI404" i="1"/>
  <c r="DJ404" i="1"/>
  <c r="DK404" i="1"/>
  <c r="DL404" i="1"/>
  <c r="DM404" i="1"/>
  <c r="DN404" i="1"/>
  <c r="DO404" i="1"/>
  <c r="DP404" i="1"/>
  <c r="DQ404" i="1"/>
  <c r="DR404" i="1"/>
  <c r="DS404" i="1"/>
  <c r="DT404" i="1"/>
  <c r="DU404" i="1"/>
  <c r="DV404" i="1"/>
  <c r="DW404" i="1"/>
  <c r="DX404" i="1"/>
  <c r="DY404" i="1"/>
  <c r="DZ404" i="1"/>
  <c r="EA404" i="1"/>
  <c r="EB404" i="1"/>
  <c r="EC404" i="1"/>
  <c r="ED404" i="1"/>
  <c r="EE404" i="1"/>
  <c r="EF404" i="1"/>
  <c r="EG404" i="1"/>
  <c r="EH404" i="1"/>
  <c r="EI404" i="1"/>
  <c r="EJ404" i="1"/>
  <c r="EK404" i="1"/>
  <c r="EL404" i="1"/>
  <c r="EM404" i="1"/>
  <c r="EN404" i="1"/>
  <c r="EO404" i="1"/>
  <c r="EP404" i="1"/>
  <c r="EQ404" i="1"/>
  <c r="ER404" i="1"/>
  <c r="ES404" i="1"/>
  <c r="ET404" i="1"/>
  <c r="EU404" i="1"/>
  <c r="EV404" i="1"/>
  <c r="EW404" i="1"/>
  <c r="EX404" i="1"/>
  <c r="EY404" i="1"/>
  <c r="EZ404" i="1"/>
  <c r="FA404" i="1"/>
  <c r="FB404" i="1"/>
  <c r="FC404" i="1"/>
  <c r="FD404" i="1"/>
  <c r="FE404" i="1"/>
  <c r="FF404" i="1"/>
  <c r="FG404" i="1"/>
  <c r="FH404" i="1"/>
  <c r="FI404" i="1"/>
  <c r="FJ404" i="1"/>
  <c r="FK404" i="1"/>
  <c r="FL404" i="1"/>
  <c r="FM404" i="1"/>
  <c r="FN404" i="1"/>
  <c r="FO404" i="1"/>
  <c r="FP404" i="1"/>
  <c r="FQ404" i="1"/>
  <c r="FR404" i="1"/>
  <c r="FS404" i="1"/>
  <c r="FT404" i="1"/>
  <c r="FU404" i="1"/>
  <c r="FV404" i="1"/>
  <c r="FW404" i="1"/>
  <c r="FX404" i="1"/>
  <c r="FY404" i="1"/>
  <c r="FZ404" i="1"/>
  <c r="GA404" i="1"/>
  <c r="GB404" i="1"/>
  <c r="GC404" i="1"/>
  <c r="GD404" i="1"/>
  <c r="GE404" i="1"/>
  <c r="GF404" i="1"/>
  <c r="GG404" i="1"/>
  <c r="GH404" i="1"/>
  <c r="GI404" i="1"/>
  <c r="GJ404" i="1"/>
  <c r="GK404" i="1"/>
  <c r="GL404" i="1"/>
  <c r="GM404" i="1"/>
  <c r="GN404" i="1"/>
  <c r="GO404" i="1"/>
  <c r="GP404" i="1"/>
  <c r="GQ404" i="1"/>
  <c r="GR404" i="1"/>
  <c r="GS404" i="1"/>
  <c r="GT404" i="1"/>
  <c r="GU404" i="1"/>
  <c r="GV404" i="1"/>
  <c r="GW404" i="1"/>
  <c r="GX404" i="1"/>
  <c r="D406" i="1"/>
  <c r="E408" i="1"/>
  <c r="Z408" i="1"/>
  <c r="AA408" i="1"/>
  <c r="AM408" i="1"/>
  <c r="AN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CN408" i="1"/>
  <c r="CO408" i="1"/>
  <c r="CP408" i="1"/>
  <c r="CQ408" i="1"/>
  <c r="CR408" i="1"/>
  <c r="CS408" i="1"/>
  <c r="CT408" i="1"/>
  <c r="CU408" i="1"/>
  <c r="CV408" i="1"/>
  <c r="CW408" i="1"/>
  <c r="CX408" i="1"/>
  <c r="CY408" i="1"/>
  <c r="CZ408" i="1"/>
  <c r="DA408" i="1"/>
  <c r="DB408" i="1"/>
  <c r="DC408" i="1"/>
  <c r="DD408" i="1"/>
  <c r="DE408" i="1"/>
  <c r="DF408" i="1"/>
  <c r="DG408" i="1"/>
  <c r="DH408" i="1"/>
  <c r="DI408" i="1"/>
  <c r="DJ408" i="1"/>
  <c r="DK408" i="1"/>
  <c r="DL408" i="1"/>
  <c r="DM408" i="1"/>
  <c r="DN408" i="1"/>
  <c r="DO408" i="1"/>
  <c r="DP408" i="1"/>
  <c r="DQ408" i="1"/>
  <c r="DR408" i="1"/>
  <c r="DS408" i="1"/>
  <c r="DT408" i="1"/>
  <c r="DU408" i="1"/>
  <c r="DV408" i="1"/>
  <c r="DW408" i="1"/>
  <c r="DX408" i="1"/>
  <c r="DY408" i="1"/>
  <c r="DZ408" i="1"/>
  <c r="EA408" i="1"/>
  <c r="EB408" i="1"/>
  <c r="EC408" i="1"/>
  <c r="ED408" i="1"/>
  <c r="EE408" i="1"/>
  <c r="EF408" i="1"/>
  <c r="EG408" i="1"/>
  <c r="EH408" i="1"/>
  <c r="EI408" i="1"/>
  <c r="EJ408" i="1"/>
  <c r="EK408" i="1"/>
  <c r="EL408" i="1"/>
  <c r="EM408" i="1"/>
  <c r="EN408" i="1"/>
  <c r="EO408" i="1"/>
  <c r="EP408" i="1"/>
  <c r="EQ408" i="1"/>
  <c r="ER408" i="1"/>
  <c r="ES408" i="1"/>
  <c r="ET408" i="1"/>
  <c r="EU408" i="1"/>
  <c r="EV408" i="1"/>
  <c r="EW408" i="1"/>
  <c r="EX408" i="1"/>
  <c r="EY408" i="1"/>
  <c r="EZ408" i="1"/>
  <c r="FA408" i="1"/>
  <c r="FB408" i="1"/>
  <c r="FC408" i="1"/>
  <c r="FD408" i="1"/>
  <c r="FE408" i="1"/>
  <c r="FF408" i="1"/>
  <c r="FG408" i="1"/>
  <c r="FH408" i="1"/>
  <c r="FI408" i="1"/>
  <c r="FJ408" i="1"/>
  <c r="FK408" i="1"/>
  <c r="FL408" i="1"/>
  <c r="FM408" i="1"/>
  <c r="FN408" i="1"/>
  <c r="FO408" i="1"/>
  <c r="FP408" i="1"/>
  <c r="FQ408" i="1"/>
  <c r="FR408" i="1"/>
  <c r="FS408" i="1"/>
  <c r="FT408" i="1"/>
  <c r="FU408" i="1"/>
  <c r="FV408" i="1"/>
  <c r="FW408" i="1"/>
  <c r="FX408" i="1"/>
  <c r="FY408" i="1"/>
  <c r="FZ408" i="1"/>
  <c r="GA408" i="1"/>
  <c r="GB408" i="1"/>
  <c r="GC408" i="1"/>
  <c r="GD408" i="1"/>
  <c r="GE408" i="1"/>
  <c r="GF408" i="1"/>
  <c r="GG408" i="1"/>
  <c r="GH408" i="1"/>
  <c r="GI408" i="1"/>
  <c r="GJ408" i="1"/>
  <c r="GK408" i="1"/>
  <c r="GL408" i="1"/>
  <c r="GM408" i="1"/>
  <c r="GN408" i="1"/>
  <c r="GO408" i="1"/>
  <c r="GP408" i="1"/>
  <c r="GQ408" i="1"/>
  <c r="GR408" i="1"/>
  <c r="GS408" i="1"/>
  <c r="GT408" i="1"/>
  <c r="GU408" i="1"/>
  <c r="GV408" i="1"/>
  <c r="GW408" i="1"/>
  <c r="GX408" i="1"/>
  <c r="C410" i="1"/>
  <c r="D410" i="1"/>
  <c r="I410" i="1"/>
  <c r="CX219" i="3" s="1"/>
  <c r="AC410" i="1"/>
  <c r="AE410" i="1"/>
  <c r="AD410" i="1" s="1"/>
  <c r="AB410" i="1" s="1"/>
  <c r="AF410" i="1"/>
  <c r="CT410" i="1" s="1"/>
  <c r="S410" i="1" s="1"/>
  <c r="AG410" i="1"/>
  <c r="AH410" i="1"/>
  <c r="AI410" i="1"/>
  <c r="AJ410" i="1"/>
  <c r="CX410" i="1" s="1"/>
  <c r="W410" i="1" s="1"/>
  <c r="CQ410" i="1"/>
  <c r="P410" i="1" s="1"/>
  <c r="CR410" i="1"/>
  <c r="Q410" i="1" s="1"/>
  <c r="CS410" i="1"/>
  <c r="R410" i="1" s="1"/>
  <c r="CU410" i="1"/>
  <c r="T410" i="1" s="1"/>
  <c r="CV410" i="1"/>
  <c r="U410" i="1" s="1"/>
  <c r="CW410" i="1"/>
  <c r="V410" i="1" s="1"/>
  <c r="FR410" i="1"/>
  <c r="GL410" i="1"/>
  <c r="GN410" i="1"/>
  <c r="GO410" i="1"/>
  <c r="GV410" i="1"/>
  <c r="HC410" i="1" s="1"/>
  <c r="GX410" i="1" s="1"/>
  <c r="C411" i="1"/>
  <c r="D411" i="1"/>
  <c r="I411" i="1"/>
  <c r="AC411" i="1"/>
  <c r="AE411" i="1"/>
  <c r="AD411" i="1" s="1"/>
  <c r="AB411" i="1" s="1"/>
  <c r="AF411" i="1"/>
  <c r="CT411" i="1" s="1"/>
  <c r="S411" i="1" s="1"/>
  <c r="AG411" i="1"/>
  <c r="AH411" i="1"/>
  <c r="AI411" i="1"/>
  <c r="AJ411" i="1"/>
  <c r="CX411" i="1" s="1"/>
  <c r="W411" i="1" s="1"/>
  <c r="CQ411" i="1"/>
  <c r="P411" i="1" s="1"/>
  <c r="CR411" i="1"/>
  <c r="Q411" i="1" s="1"/>
  <c r="CS411" i="1"/>
  <c r="R411" i="1" s="1"/>
  <c r="GK411" i="1" s="1"/>
  <c r="CU411" i="1"/>
  <c r="T411" i="1" s="1"/>
  <c r="CV411" i="1"/>
  <c r="U411" i="1" s="1"/>
  <c r="CW411" i="1"/>
  <c r="V411" i="1" s="1"/>
  <c r="FR411" i="1"/>
  <c r="GL411" i="1"/>
  <c r="GN411" i="1"/>
  <c r="GO411" i="1"/>
  <c r="GV411" i="1"/>
  <c r="HC411" i="1" s="1"/>
  <c r="GX411" i="1" s="1"/>
  <c r="C412" i="1"/>
  <c r="D412" i="1"/>
  <c r="AC412" i="1"/>
  <c r="CQ412" i="1" s="1"/>
  <c r="P412" i="1" s="1"/>
  <c r="AE412" i="1"/>
  <c r="AD412" i="1" s="1"/>
  <c r="AF412" i="1"/>
  <c r="AG412" i="1"/>
  <c r="CU412" i="1" s="1"/>
  <c r="T412" i="1" s="1"/>
  <c r="AH412" i="1"/>
  <c r="AI412" i="1"/>
  <c r="AJ412" i="1"/>
  <c r="CR412" i="1"/>
  <c r="Q412" i="1" s="1"/>
  <c r="CS412" i="1"/>
  <c r="R412" i="1" s="1"/>
  <c r="GK412" i="1" s="1"/>
  <c r="CT412" i="1"/>
  <c r="S412" i="1" s="1"/>
  <c r="CV412" i="1"/>
  <c r="U412" i="1" s="1"/>
  <c r="CW412" i="1"/>
  <c r="V412" i="1" s="1"/>
  <c r="CX412" i="1"/>
  <c r="W412" i="1" s="1"/>
  <c r="FR412" i="1"/>
  <c r="GL412" i="1"/>
  <c r="GN412" i="1"/>
  <c r="GO412" i="1"/>
  <c r="GV412" i="1"/>
  <c r="GX412" i="1"/>
  <c r="HC412" i="1"/>
  <c r="C413" i="1"/>
  <c r="D413" i="1"/>
  <c r="AC413" i="1"/>
  <c r="CQ413" i="1" s="1"/>
  <c r="P413" i="1" s="1"/>
  <c r="AD413" i="1"/>
  <c r="AE413" i="1"/>
  <c r="AF413" i="1"/>
  <c r="AG413" i="1"/>
  <c r="CU413" i="1" s="1"/>
  <c r="T413" i="1" s="1"/>
  <c r="AH413" i="1"/>
  <c r="CV413" i="1" s="1"/>
  <c r="U413" i="1" s="1"/>
  <c r="AI413" i="1"/>
  <c r="AJ413" i="1"/>
  <c r="CR413" i="1"/>
  <c r="Q413" i="1" s="1"/>
  <c r="CS413" i="1"/>
  <c r="R413" i="1" s="1"/>
  <c r="GK413" i="1" s="1"/>
  <c r="CT413" i="1"/>
  <c r="S413" i="1" s="1"/>
  <c r="CW413" i="1"/>
  <c r="V413" i="1" s="1"/>
  <c r="CX413" i="1"/>
  <c r="W413" i="1" s="1"/>
  <c r="FR413" i="1"/>
  <c r="GL413" i="1"/>
  <c r="GN413" i="1"/>
  <c r="GO413" i="1"/>
  <c r="GV413" i="1"/>
  <c r="HC413" i="1"/>
  <c r="GX413" i="1" s="1"/>
  <c r="I414" i="1"/>
  <c r="AC414" i="1"/>
  <c r="AE414" i="1"/>
  <c r="CS414" i="1" s="1"/>
  <c r="R414" i="1" s="1"/>
  <c r="GK414" i="1" s="1"/>
  <c r="AF414" i="1"/>
  <c r="CT414" i="1" s="1"/>
  <c r="S414" i="1" s="1"/>
  <c r="AG414" i="1"/>
  <c r="AH414" i="1"/>
  <c r="AI414" i="1"/>
  <c r="CW414" i="1" s="1"/>
  <c r="V414" i="1" s="1"/>
  <c r="AJ414" i="1"/>
  <c r="CX414" i="1" s="1"/>
  <c r="W414" i="1" s="1"/>
  <c r="CQ414" i="1"/>
  <c r="P414" i="1" s="1"/>
  <c r="CR414" i="1"/>
  <c r="Q414" i="1" s="1"/>
  <c r="CU414" i="1"/>
  <c r="T414" i="1" s="1"/>
  <c r="CV414" i="1"/>
  <c r="U414" i="1" s="1"/>
  <c r="FR414" i="1"/>
  <c r="GL414" i="1"/>
  <c r="GN414" i="1"/>
  <c r="GO414" i="1"/>
  <c r="GV414" i="1"/>
  <c r="HC414" i="1" s="1"/>
  <c r="GX414" i="1" s="1"/>
  <c r="C415" i="1"/>
  <c r="D415" i="1"/>
  <c r="AC415" i="1"/>
  <c r="CQ415" i="1" s="1"/>
  <c r="P415" i="1" s="1"/>
  <c r="AE415" i="1"/>
  <c r="AD415" i="1" s="1"/>
  <c r="AB415" i="1" s="1"/>
  <c r="AF415" i="1"/>
  <c r="CT415" i="1" s="1"/>
  <c r="S415" i="1" s="1"/>
  <c r="AG415" i="1"/>
  <c r="CU415" i="1" s="1"/>
  <c r="T415" i="1" s="1"/>
  <c r="AH415" i="1"/>
  <c r="AI415" i="1"/>
  <c r="AJ415" i="1"/>
  <c r="CX415" i="1" s="1"/>
  <c r="W415" i="1" s="1"/>
  <c r="CR415" i="1"/>
  <c r="Q415" i="1" s="1"/>
  <c r="CS415" i="1"/>
  <c r="R415" i="1" s="1"/>
  <c r="GK415" i="1" s="1"/>
  <c r="CV415" i="1"/>
  <c r="U415" i="1" s="1"/>
  <c r="CW415" i="1"/>
  <c r="V415" i="1" s="1"/>
  <c r="FR415" i="1"/>
  <c r="GL415" i="1"/>
  <c r="GN415" i="1"/>
  <c r="GO415" i="1"/>
  <c r="GV415" i="1"/>
  <c r="GX415" i="1"/>
  <c r="HC415" i="1"/>
  <c r="C416" i="1"/>
  <c r="D416" i="1"/>
  <c r="I416" i="1"/>
  <c r="AC416" i="1"/>
  <c r="CQ416" i="1" s="1"/>
  <c r="P416" i="1" s="1"/>
  <c r="CP416" i="1" s="1"/>
  <c r="O416" i="1" s="1"/>
  <c r="AE416" i="1"/>
  <c r="AD416" i="1" s="1"/>
  <c r="AB416" i="1" s="1"/>
  <c r="AF416" i="1"/>
  <c r="CT416" i="1" s="1"/>
  <c r="S416" i="1" s="1"/>
  <c r="AG416" i="1"/>
  <c r="CU416" i="1" s="1"/>
  <c r="T416" i="1" s="1"/>
  <c r="AH416" i="1"/>
  <c r="AI416" i="1"/>
  <c r="AJ416" i="1"/>
  <c r="CX416" i="1" s="1"/>
  <c r="W416" i="1" s="1"/>
  <c r="CR416" i="1"/>
  <c r="Q416" i="1" s="1"/>
  <c r="CS416" i="1"/>
  <c r="R416" i="1" s="1"/>
  <c r="GK416" i="1" s="1"/>
  <c r="CV416" i="1"/>
  <c r="U416" i="1" s="1"/>
  <c r="CW416" i="1"/>
  <c r="V416" i="1" s="1"/>
  <c r="FR416" i="1"/>
  <c r="GL416" i="1"/>
  <c r="GN416" i="1"/>
  <c r="GO416" i="1"/>
  <c r="GV416" i="1"/>
  <c r="GX416" i="1"/>
  <c r="HC416" i="1"/>
  <c r="C417" i="1"/>
  <c r="D417" i="1"/>
  <c r="I417" i="1"/>
  <c r="AC417" i="1"/>
  <c r="CQ417" i="1" s="1"/>
  <c r="P417" i="1" s="1"/>
  <c r="AE417" i="1"/>
  <c r="AD417" i="1" s="1"/>
  <c r="AB417" i="1" s="1"/>
  <c r="AF417" i="1"/>
  <c r="CT417" i="1" s="1"/>
  <c r="S417" i="1" s="1"/>
  <c r="AG417" i="1"/>
  <c r="CU417" i="1" s="1"/>
  <c r="T417" i="1" s="1"/>
  <c r="AH417" i="1"/>
  <c r="AI417" i="1"/>
  <c r="AJ417" i="1"/>
  <c r="CX417" i="1" s="1"/>
  <c r="W417" i="1" s="1"/>
  <c r="CR417" i="1"/>
  <c r="Q417" i="1" s="1"/>
  <c r="CS417" i="1"/>
  <c r="R417" i="1" s="1"/>
  <c r="GK417" i="1" s="1"/>
  <c r="CV417" i="1"/>
  <c r="U417" i="1" s="1"/>
  <c r="CW417" i="1"/>
  <c r="V417" i="1" s="1"/>
  <c r="FR417" i="1"/>
  <c r="GL417" i="1"/>
  <c r="GN417" i="1"/>
  <c r="GO417" i="1"/>
  <c r="GV417" i="1"/>
  <c r="HC417" i="1" s="1"/>
  <c r="GX417" i="1" s="1"/>
  <c r="B419" i="1"/>
  <c r="B408" i="1" s="1"/>
  <c r="C419" i="1"/>
  <c r="C408" i="1" s="1"/>
  <c r="D419" i="1"/>
  <c r="D408" i="1" s="1"/>
  <c r="F419" i="1"/>
  <c r="F408" i="1" s="1"/>
  <c r="G419" i="1"/>
  <c r="G408" i="1" s="1"/>
  <c r="BX419" i="1"/>
  <c r="AO419" i="1" s="1"/>
  <c r="BY419" i="1"/>
  <c r="BY408" i="1" s="1"/>
  <c r="BZ419" i="1"/>
  <c r="BZ408" i="1" s="1"/>
  <c r="CB419" i="1"/>
  <c r="AS419" i="1" s="1"/>
  <c r="CC419" i="1"/>
  <c r="CC408" i="1" s="1"/>
  <c r="CG419" i="1"/>
  <c r="CG408" i="1" s="1"/>
  <c r="CI419" i="1"/>
  <c r="CI408" i="1" s="1"/>
  <c r="CK419" i="1"/>
  <c r="CK408" i="1" s="1"/>
  <c r="CL419" i="1"/>
  <c r="CL408" i="1" s="1"/>
  <c r="CM419" i="1"/>
  <c r="CM408" i="1" s="1"/>
  <c r="B449" i="1"/>
  <c r="B404" i="1" s="1"/>
  <c r="C449" i="1"/>
  <c r="C404" i="1" s="1"/>
  <c r="D449" i="1"/>
  <c r="D404" i="1" s="1"/>
  <c r="F449" i="1"/>
  <c r="F404" i="1" s="1"/>
  <c r="G449" i="1"/>
  <c r="G404" i="1" s="1"/>
  <c r="D479" i="1"/>
  <c r="E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Z481" i="1"/>
  <c r="CA481" i="1"/>
  <c r="CB481" i="1"/>
  <c r="CC481" i="1"/>
  <c r="CD481" i="1"/>
  <c r="CE481" i="1"/>
  <c r="CF481" i="1"/>
  <c r="CG481" i="1"/>
  <c r="CH481" i="1"/>
  <c r="CI481" i="1"/>
  <c r="CJ481" i="1"/>
  <c r="CK481" i="1"/>
  <c r="CL481" i="1"/>
  <c r="CM481" i="1"/>
  <c r="CN481" i="1"/>
  <c r="CO481" i="1"/>
  <c r="CP481" i="1"/>
  <c r="CQ481" i="1"/>
  <c r="CR481" i="1"/>
  <c r="CS481" i="1"/>
  <c r="CT481" i="1"/>
  <c r="CU481" i="1"/>
  <c r="CV481" i="1"/>
  <c r="CW481" i="1"/>
  <c r="CX481" i="1"/>
  <c r="CY481" i="1"/>
  <c r="CZ481" i="1"/>
  <c r="DA481" i="1"/>
  <c r="DB481" i="1"/>
  <c r="DC481" i="1"/>
  <c r="DD481" i="1"/>
  <c r="DE481" i="1"/>
  <c r="DF481" i="1"/>
  <c r="DG481" i="1"/>
  <c r="DH481" i="1"/>
  <c r="DI481" i="1"/>
  <c r="DJ481" i="1"/>
  <c r="DK481" i="1"/>
  <c r="DL481" i="1"/>
  <c r="DM481" i="1"/>
  <c r="DN481" i="1"/>
  <c r="DO481" i="1"/>
  <c r="DP481" i="1"/>
  <c r="DQ481" i="1"/>
  <c r="DR481" i="1"/>
  <c r="DS481" i="1"/>
  <c r="DT481" i="1"/>
  <c r="DU481" i="1"/>
  <c r="DV481" i="1"/>
  <c r="DW481" i="1"/>
  <c r="DX481" i="1"/>
  <c r="DY481" i="1"/>
  <c r="DZ481" i="1"/>
  <c r="EA481" i="1"/>
  <c r="EB481" i="1"/>
  <c r="EC481" i="1"/>
  <c r="ED481" i="1"/>
  <c r="EE481" i="1"/>
  <c r="EF481" i="1"/>
  <c r="EG481" i="1"/>
  <c r="EH481" i="1"/>
  <c r="EI481" i="1"/>
  <c r="EJ481" i="1"/>
  <c r="EK481" i="1"/>
  <c r="EL481" i="1"/>
  <c r="EM481" i="1"/>
  <c r="EN481" i="1"/>
  <c r="EO481" i="1"/>
  <c r="EP481" i="1"/>
  <c r="EQ481" i="1"/>
  <c r="ER481" i="1"/>
  <c r="ES481" i="1"/>
  <c r="ET481" i="1"/>
  <c r="EU481" i="1"/>
  <c r="EV481" i="1"/>
  <c r="EW481" i="1"/>
  <c r="EX481" i="1"/>
  <c r="EY481" i="1"/>
  <c r="EZ481" i="1"/>
  <c r="FA481" i="1"/>
  <c r="FB481" i="1"/>
  <c r="FC481" i="1"/>
  <c r="FD481" i="1"/>
  <c r="FE481" i="1"/>
  <c r="FF481" i="1"/>
  <c r="FG481" i="1"/>
  <c r="FH481" i="1"/>
  <c r="FI481" i="1"/>
  <c r="FJ481" i="1"/>
  <c r="FK481" i="1"/>
  <c r="FL481" i="1"/>
  <c r="FM481" i="1"/>
  <c r="FN481" i="1"/>
  <c r="FO481" i="1"/>
  <c r="FP481" i="1"/>
  <c r="FQ481" i="1"/>
  <c r="FR481" i="1"/>
  <c r="FS481" i="1"/>
  <c r="FT481" i="1"/>
  <c r="FU481" i="1"/>
  <c r="FV481" i="1"/>
  <c r="FW481" i="1"/>
  <c r="FX481" i="1"/>
  <c r="FY481" i="1"/>
  <c r="FZ481" i="1"/>
  <c r="GA481" i="1"/>
  <c r="GB481" i="1"/>
  <c r="GC481" i="1"/>
  <c r="GD481" i="1"/>
  <c r="GE481" i="1"/>
  <c r="GF481" i="1"/>
  <c r="GG481" i="1"/>
  <c r="GH481" i="1"/>
  <c r="GI481" i="1"/>
  <c r="GJ481" i="1"/>
  <c r="GK481" i="1"/>
  <c r="GL481" i="1"/>
  <c r="GM481" i="1"/>
  <c r="GN481" i="1"/>
  <c r="GO481" i="1"/>
  <c r="GP481" i="1"/>
  <c r="GQ481" i="1"/>
  <c r="GR481" i="1"/>
  <c r="GS481" i="1"/>
  <c r="GT481" i="1"/>
  <c r="GU481" i="1"/>
  <c r="GV481" i="1"/>
  <c r="GW481" i="1"/>
  <c r="GX481" i="1"/>
  <c r="D483" i="1"/>
  <c r="E485" i="1"/>
  <c r="Z485" i="1"/>
  <c r="AA485" i="1"/>
  <c r="AM485" i="1"/>
  <c r="AN485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BQ485" i="1"/>
  <c r="BR485" i="1"/>
  <c r="BS485" i="1"/>
  <c r="BT485" i="1"/>
  <c r="BU485" i="1"/>
  <c r="BV485" i="1"/>
  <c r="BW485" i="1"/>
  <c r="CN485" i="1"/>
  <c r="CO485" i="1"/>
  <c r="CP485" i="1"/>
  <c r="CQ485" i="1"/>
  <c r="CR485" i="1"/>
  <c r="CS485" i="1"/>
  <c r="CT485" i="1"/>
  <c r="CU485" i="1"/>
  <c r="CV485" i="1"/>
  <c r="CW485" i="1"/>
  <c r="CX485" i="1"/>
  <c r="CY485" i="1"/>
  <c r="CZ485" i="1"/>
  <c r="DA485" i="1"/>
  <c r="DB485" i="1"/>
  <c r="DC485" i="1"/>
  <c r="DD485" i="1"/>
  <c r="DE485" i="1"/>
  <c r="DF485" i="1"/>
  <c r="DG485" i="1"/>
  <c r="DH485" i="1"/>
  <c r="DI485" i="1"/>
  <c r="DJ485" i="1"/>
  <c r="DK485" i="1"/>
  <c r="DL485" i="1"/>
  <c r="DM485" i="1"/>
  <c r="DN485" i="1"/>
  <c r="DO485" i="1"/>
  <c r="DP485" i="1"/>
  <c r="DQ485" i="1"/>
  <c r="DR485" i="1"/>
  <c r="DS485" i="1"/>
  <c r="DT485" i="1"/>
  <c r="DU485" i="1"/>
  <c r="DV485" i="1"/>
  <c r="DW485" i="1"/>
  <c r="DX485" i="1"/>
  <c r="DY485" i="1"/>
  <c r="DZ485" i="1"/>
  <c r="EA485" i="1"/>
  <c r="EB485" i="1"/>
  <c r="EC485" i="1"/>
  <c r="ED485" i="1"/>
  <c r="EE485" i="1"/>
  <c r="EF485" i="1"/>
  <c r="EG485" i="1"/>
  <c r="EH485" i="1"/>
  <c r="EI485" i="1"/>
  <c r="EJ485" i="1"/>
  <c r="EK485" i="1"/>
  <c r="EL485" i="1"/>
  <c r="EM485" i="1"/>
  <c r="EN485" i="1"/>
  <c r="EO485" i="1"/>
  <c r="EP485" i="1"/>
  <c r="EQ485" i="1"/>
  <c r="ER485" i="1"/>
  <c r="ES485" i="1"/>
  <c r="ET485" i="1"/>
  <c r="EU485" i="1"/>
  <c r="EV485" i="1"/>
  <c r="EW485" i="1"/>
  <c r="EX485" i="1"/>
  <c r="EY485" i="1"/>
  <c r="EZ485" i="1"/>
  <c r="FA485" i="1"/>
  <c r="FB485" i="1"/>
  <c r="FC485" i="1"/>
  <c r="FD485" i="1"/>
  <c r="FE485" i="1"/>
  <c r="FF485" i="1"/>
  <c r="FG485" i="1"/>
  <c r="FH485" i="1"/>
  <c r="FI485" i="1"/>
  <c r="FJ485" i="1"/>
  <c r="FK485" i="1"/>
  <c r="FL485" i="1"/>
  <c r="FM485" i="1"/>
  <c r="FN485" i="1"/>
  <c r="FO485" i="1"/>
  <c r="FP485" i="1"/>
  <c r="FQ485" i="1"/>
  <c r="FR485" i="1"/>
  <c r="FS485" i="1"/>
  <c r="FT485" i="1"/>
  <c r="FU485" i="1"/>
  <c r="FV485" i="1"/>
  <c r="FW485" i="1"/>
  <c r="FX485" i="1"/>
  <c r="FY485" i="1"/>
  <c r="FZ485" i="1"/>
  <c r="GA485" i="1"/>
  <c r="GB485" i="1"/>
  <c r="GC485" i="1"/>
  <c r="GD485" i="1"/>
  <c r="GE485" i="1"/>
  <c r="GF485" i="1"/>
  <c r="GG485" i="1"/>
  <c r="GH485" i="1"/>
  <c r="GI485" i="1"/>
  <c r="GJ485" i="1"/>
  <c r="GK485" i="1"/>
  <c r="GL485" i="1"/>
  <c r="GM485" i="1"/>
  <c r="GN485" i="1"/>
  <c r="GO485" i="1"/>
  <c r="GP485" i="1"/>
  <c r="GQ485" i="1"/>
  <c r="GR485" i="1"/>
  <c r="GS485" i="1"/>
  <c r="GT485" i="1"/>
  <c r="GU485" i="1"/>
  <c r="GV485" i="1"/>
  <c r="GW485" i="1"/>
  <c r="GX485" i="1"/>
  <c r="C487" i="1"/>
  <c r="D487" i="1"/>
  <c r="AC487" i="1"/>
  <c r="CQ487" i="1" s="1"/>
  <c r="P487" i="1" s="1"/>
  <c r="AE487" i="1"/>
  <c r="AD487" i="1" s="1"/>
  <c r="AB487" i="1" s="1"/>
  <c r="AF487" i="1"/>
  <c r="CT487" i="1" s="1"/>
  <c r="S487" i="1" s="1"/>
  <c r="AG487" i="1"/>
  <c r="CU487" i="1" s="1"/>
  <c r="T487" i="1" s="1"/>
  <c r="AG489" i="1" s="1"/>
  <c r="AH487" i="1"/>
  <c r="AI487" i="1"/>
  <c r="AJ487" i="1"/>
  <c r="CX487" i="1" s="1"/>
  <c r="W487" i="1" s="1"/>
  <c r="AJ489" i="1" s="1"/>
  <c r="CR487" i="1"/>
  <c r="Q487" i="1" s="1"/>
  <c r="AD489" i="1" s="1"/>
  <c r="CS487" i="1"/>
  <c r="R487" i="1" s="1"/>
  <c r="CV487" i="1"/>
  <c r="U487" i="1" s="1"/>
  <c r="AH489" i="1" s="1"/>
  <c r="CW487" i="1"/>
  <c r="V487" i="1" s="1"/>
  <c r="AI489" i="1" s="1"/>
  <c r="FR487" i="1"/>
  <c r="BY489" i="1" s="1"/>
  <c r="GL487" i="1"/>
  <c r="GN487" i="1"/>
  <c r="GO487" i="1"/>
  <c r="CC489" i="1" s="1"/>
  <c r="GV487" i="1"/>
  <c r="GX487" i="1"/>
  <c r="HC487" i="1"/>
  <c r="B489" i="1"/>
  <c r="B485" i="1" s="1"/>
  <c r="C489" i="1"/>
  <c r="C485" i="1" s="1"/>
  <c r="D489" i="1"/>
  <c r="D485" i="1" s="1"/>
  <c r="F489" i="1"/>
  <c r="F485" i="1" s="1"/>
  <c r="G489" i="1"/>
  <c r="G485" i="1" s="1"/>
  <c r="BX489" i="1"/>
  <c r="BX485" i="1" s="1"/>
  <c r="BZ489" i="1"/>
  <c r="AQ489" i="1" s="1"/>
  <c r="CB489" i="1"/>
  <c r="CB485" i="1" s="1"/>
  <c r="CJ489" i="1"/>
  <c r="CJ485" i="1" s="1"/>
  <c r="CK489" i="1"/>
  <c r="CK485" i="1" s="1"/>
  <c r="CL489" i="1"/>
  <c r="BC489" i="1" s="1"/>
  <c r="CM489" i="1"/>
  <c r="CM485" i="1" s="1"/>
  <c r="D519" i="1"/>
  <c r="E521" i="1"/>
  <c r="Z521" i="1"/>
  <c r="AA521" i="1"/>
  <c r="AM521" i="1"/>
  <c r="AN521" i="1"/>
  <c r="BE521" i="1"/>
  <c r="BF521" i="1"/>
  <c r="BG521" i="1"/>
  <c r="BH521" i="1"/>
  <c r="BI521" i="1"/>
  <c r="BJ521" i="1"/>
  <c r="BK521" i="1"/>
  <c r="BL521" i="1"/>
  <c r="BM521" i="1"/>
  <c r="BN521" i="1"/>
  <c r="BO521" i="1"/>
  <c r="BP521" i="1"/>
  <c r="BQ521" i="1"/>
  <c r="BR521" i="1"/>
  <c r="BS521" i="1"/>
  <c r="BT521" i="1"/>
  <c r="BU521" i="1"/>
  <c r="BV521" i="1"/>
  <c r="BW521" i="1"/>
  <c r="CN521" i="1"/>
  <c r="CO521" i="1"/>
  <c r="CP521" i="1"/>
  <c r="CQ521" i="1"/>
  <c r="CR521" i="1"/>
  <c r="CS521" i="1"/>
  <c r="CT521" i="1"/>
  <c r="CU521" i="1"/>
  <c r="CV521" i="1"/>
  <c r="CW521" i="1"/>
  <c r="CX521" i="1"/>
  <c r="CY521" i="1"/>
  <c r="CZ521" i="1"/>
  <c r="DA521" i="1"/>
  <c r="DB521" i="1"/>
  <c r="DC521" i="1"/>
  <c r="DD521" i="1"/>
  <c r="DE521" i="1"/>
  <c r="DF521" i="1"/>
  <c r="DG521" i="1"/>
  <c r="DH521" i="1"/>
  <c r="DI521" i="1"/>
  <c r="DJ521" i="1"/>
  <c r="DK521" i="1"/>
  <c r="DL521" i="1"/>
  <c r="DM521" i="1"/>
  <c r="DN521" i="1"/>
  <c r="DO521" i="1"/>
  <c r="DP521" i="1"/>
  <c r="DQ521" i="1"/>
  <c r="DR521" i="1"/>
  <c r="DS521" i="1"/>
  <c r="DT521" i="1"/>
  <c r="DU521" i="1"/>
  <c r="DV521" i="1"/>
  <c r="DW521" i="1"/>
  <c r="DX521" i="1"/>
  <c r="DY521" i="1"/>
  <c r="DZ521" i="1"/>
  <c r="EA521" i="1"/>
  <c r="EB521" i="1"/>
  <c r="EC521" i="1"/>
  <c r="ED521" i="1"/>
  <c r="EE521" i="1"/>
  <c r="EF521" i="1"/>
  <c r="EG521" i="1"/>
  <c r="EH521" i="1"/>
  <c r="EI521" i="1"/>
  <c r="EJ521" i="1"/>
  <c r="EK521" i="1"/>
  <c r="EL521" i="1"/>
  <c r="EM521" i="1"/>
  <c r="EN521" i="1"/>
  <c r="EO521" i="1"/>
  <c r="EP521" i="1"/>
  <c r="EQ521" i="1"/>
  <c r="ER521" i="1"/>
  <c r="ES521" i="1"/>
  <c r="ET521" i="1"/>
  <c r="EU521" i="1"/>
  <c r="EV521" i="1"/>
  <c r="EW521" i="1"/>
  <c r="EX521" i="1"/>
  <c r="EY521" i="1"/>
  <c r="EZ521" i="1"/>
  <c r="FA521" i="1"/>
  <c r="FB521" i="1"/>
  <c r="FC521" i="1"/>
  <c r="FD521" i="1"/>
  <c r="FE521" i="1"/>
  <c r="FF521" i="1"/>
  <c r="FG521" i="1"/>
  <c r="FH521" i="1"/>
  <c r="FI521" i="1"/>
  <c r="FJ521" i="1"/>
  <c r="FK521" i="1"/>
  <c r="FL521" i="1"/>
  <c r="FM521" i="1"/>
  <c r="FN521" i="1"/>
  <c r="FO521" i="1"/>
  <c r="FP521" i="1"/>
  <c r="FQ521" i="1"/>
  <c r="FR521" i="1"/>
  <c r="FS521" i="1"/>
  <c r="FT521" i="1"/>
  <c r="FU521" i="1"/>
  <c r="FV521" i="1"/>
  <c r="FW521" i="1"/>
  <c r="FX521" i="1"/>
  <c r="FY521" i="1"/>
  <c r="FZ521" i="1"/>
  <c r="GA521" i="1"/>
  <c r="GB521" i="1"/>
  <c r="GC521" i="1"/>
  <c r="GD521" i="1"/>
  <c r="GE521" i="1"/>
  <c r="GF521" i="1"/>
  <c r="GG521" i="1"/>
  <c r="GH521" i="1"/>
  <c r="GI521" i="1"/>
  <c r="GJ521" i="1"/>
  <c r="GK521" i="1"/>
  <c r="GL521" i="1"/>
  <c r="GM521" i="1"/>
  <c r="GN521" i="1"/>
  <c r="GO521" i="1"/>
  <c r="GP521" i="1"/>
  <c r="GQ521" i="1"/>
  <c r="GR521" i="1"/>
  <c r="GS521" i="1"/>
  <c r="GT521" i="1"/>
  <c r="GU521" i="1"/>
  <c r="GV521" i="1"/>
  <c r="GW521" i="1"/>
  <c r="GX521" i="1"/>
  <c r="C523" i="1"/>
  <c r="D523" i="1"/>
  <c r="AC523" i="1"/>
  <c r="AE523" i="1"/>
  <c r="AD523" i="1" s="1"/>
  <c r="AF523" i="1"/>
  <c r="AG523" i="1"/>
  <c r="CU523" i="1" s="1"/>
  <c r="T523" i="1" s="1"/>
  <c r="AH523" i="1"/>
  <c r="AI523" i="1"/>
  <c r="AJ523" i="1"/>
  <c r="CR523" i="1"/>
  <c r="Q523" i="1" s="1"/>
  <c r="CS523" i="1"/>
  <c r="R523" i="1" s="1"/>
  <c r="CT523" i="1"/>
  <c r="S523" i="1" s="1"/>
  <c r="CV523" i="1"/>
  <c r="U523" i="1" s="1"/>
  <c r="CW523" i="1"/>
  <c r="V523" i="1" s="1"/>
  <c r="CX523" i="1"/>
  <c r="W523" i="1" s="1"/>
  <c r="FR523" i="1"/>
  <c r="GL523" i="1"/>
  <c r="GN523" i="1"/>
  <c r="GO523" i="1"/>
  <c r="GV523" i="1"/>
  <c r="HC523" i="1"/>
  <c r="GX523" i="1" s="1"/>
  <c r="I524" i="1"/>
  <c r="AC524" i="1"/>
  <c r="AE524" i="1"/>
  <c r="AD524" i="1" s="1"/>
  <c r="AF524" i="1"/>
  <c r="AG524" i="1"/>
  <c r="AH524" i="1"/>
  <c r="AI524" i="1"/>
  <c r="CW524" i="1" s="1"/>
  <c r="V524" i="1" s="1"/>
  <c r="AJ524" i="1"/>
  <c r="CQ524" i="1"/>
  <c r="P524" i="1" s="1"/>
  <c r="CP524" i="1" s="1"/>
  <c r="O524" i="1" s="1"/>
  <c r="CR524" i="1"/>
  <c r="Q524" i="1" s="1"/>
  <c r="CT524" i="1"/>
  <c r="S524" i="1" s="1"/>
  <c r="CU524" i="1"/>
  <c r="T524" i="1" s="1"/>
  <c r="CV524" i="1"/>
  <c r="U524" i="1" s="1"/>
  <c r="CX524" i="1"/>
  <c r="W524" i="1" s="1"/>
  <c r="FR524" i="1"/>
  <c r="GL524" i="1"/>
  <c r="GN524" i="1"/>
  <c r="GO524" i="1"/>
  <c r="GV524" i="1"/>
  <c r="HC524" i="1" s="1"/>
  <c r="GX524" i="1" s="1"/>
  <c r="I525" i="1"/>
  <c r="AC525" i="1"/>
  <c r="AB525" i="1" s="1"/>
  <c r="AE525" i="1"/>
  <c r="AD525" i="1" s="1"/>
  <c r="AF525" i="1"/>
  <c r="AG525" i="1"/>
  <c r="CU525" i="1" s="1"/>
  <c r="T525" i="1" s="1"/>
  <c r="AH525" i="1"/>
  <c r="AI525" i="1"/>
  <c r="AJ525" i="1"/>
  <c r="CR525" i="1"/>
  <c r="Q525" i="1" s="1"/>
  <c r="CS525" i="1"/>
  <c r="R525" i="1" s="1"/>
  <c r="GK525" i="1" s="1"/>
  <c r="CT525" i="1"/>
  <c r="S525" i="1" s="1"/>
  <c r="CV525" i="1"/>
  <c r="U525" i="1" s="1"/>
  <c r="CW525" i="1"/>
  <c r="V525" i="1" s="1"/>
  <c r="CX525" i="1"/>
  <c r="W525" i="1" s="1"/>
  <c r="FR525" i="1"/>
  <c r="GL525" i="1"/>
  <c r="GN525" i="1"/>
  <c r="GO525" i="1"/>
  <c r="GV525" i="1"/>
  <c r="HC525" i="1"/>
  <c r="GX525" i="1" s="1"/>
  <c r="I526" i="1"/>
  <c r="AC526" i="1"/>
  <c r="AB526" i="1" s="1"/>
  <c r="AE526" i="1"/>
  <c r="AD526" i="1" s="1"/>
  <c r="AF526" i="1"/>
  <c r="AG526" i="1"/>
  <c r="AH526" i="1"/>
  <c r="AI526" i="1"/>
  <c r="CW526" i="1" s="1"/>
  <c r="V526" i="1" s="1"/>
  <c r="AJ526" i="1"/>
  <c r="CQ526" i="1"/>
  <c r="P526" i="1" s="1"/>
  <c r="CP526" i="1" s="1"/>
  <c r="O526" i="1" s="1"/>
  <c r="CR526" i="1"/>
  <c r="Q526" i="1" s="1"/>
  <c r="CT526" i="1"/>
  <c r="S526" i="1" s="1"/>
  <c r="CU526" i="1"/>
  <c r="T526" i="1" s="1"/>
  <c r="CV526" i="1"/>
  <c r="U526" i="1" s="1"/>
  <c r="CX526" i="1"/>
  <c r="W526" i="1" s="1"/>
  <c r="FR526" i="1"/>
  <c r="GL526" i="1"/>
  <c r="GN526" i="1"/>
  <c r="GO526" i="1"/>
  <c r="GV526" i="1"/>
  <c r="HC526" i="1" s="1"/>
  <c r="GX526" i="1" s="1"/>
  <c r="C527" i="1"/>
  <c r="D527" i="1"/>
  <c r="AC527" i="1"/>
  <c r="AE527" i="1"/>
  <c r="AD527" i="1" s="1"/>
  <c r="AB527" i="1" s="1"/>
  <c r="AF527" i="1"/>
  <c r="CT527" i="1" s="1"/>
  <c r="S527" i="1" s="1"/>
  <c r="AG527" i="1"/>
  <c r="AH527" i="1"/>
  <c r="AI527" i="1"/>
  <c r="AJ527" i="1"/>
  <c r="CX527" i="1" s="1"/>
  <c r="W527" i="1" s="1"/>
  <c r="CQ527" i="1"/>
  <c r="P527" i="1" s="1"/>
  <c r="CP527" i="1" s="1"/>
  <c r="O527" i="1" s="1"/>
  <c r="CR527" i="1"/>
  <c r="Q527" i="1" s="1"/>
  <c r="CS527" i="1"/>
  <c r="R527" i="1" s="1"/>
  <c r="GK527" i="1" s="1"/>
  <c r="CU527" i="1"/>
  <c r="T527" i="1" s="1"/>
  <c r="CV527" i="1"/>
  <c r="U527" i="1" s="1"/>
  <c r="CW527" i="1"/>
  <c r="V527" i="1" s="1"/>
  <c r="FR527" i="1"/>
  <c r="GL527" i="1"/>
  <c r="GN527" i="1"/>
  <c r="GO527" i="1"/>
  <c r="GV527" i="1"/>
  <c r="HC527" i="1" s="1"/>
  <c r="GX527" i="1" s="1"/>
  <c r="I528" i="1"/>
  <c r="AC528" i="1"/>
  <c r="AB528" i="1" s="1"/>
  <c r="AD528" i="1"/>
  <c r="AE528" i="1"/>
  <c r="AF528" i="1"/>
  <c r="AG528" i="1"/>
  <c r="AH528" i="1"/>
  <c r="CV528" i="1" s="1"/>
  <c r="U528" i="1" s="1"/>
  <c r="AI528" i="1"/>
  <c r="AJ528" i="1"/>
  <c r="CQ528" i="1"/>
  <c r="P528" i="1" s="1"/>
  <c r="CP528" i="1" s="1"/>
  <c r="O528" i="1" s="1"/>
  <c r="CR528" i="1"/>
  <c r="Q528" i="1" s="1"/>
  <c r="CS528" i="1"/>
  <c r="R528" i="1" s="1"/>
  <c r="GK528" i="1" s="1"/>
  <c r="CT528" i="1"/>
  <c r="S528" i="1" s="1"/>
  <c r="CU528" i="1"/>
  <c r="T528" i="1" s="1"/>
  <c r="CW528" i="1"/>
  <c r="V528" i="1" s="1"/>
  <c r="CX528" i="1"/>
  <c r="W528" i="1" s="1"/>
  <c r="FR528" i="1"/>
  <c r="GL528" i="1"/>
  <c r="GN528" i="1"/>
  <c r="GO528" i="1"/>
  <c r="GV528" i="1"/>
  <c r="HC528" i="1"/>
  <c r="GX528" i="1" s="1"/>
  <c r="I529" i="1"/>
  <c r="AC529" i="1"/>
  <c r="AE529" i="1"/>
  <c r="AD529" i="1" s="1"/>
  <c r="AB529" i="1" s="1"/>
  <c r="AF529" i="1"/>
  <c r="CT529" i="1" s="1"/>
  <c r="S529" i="1" s="1"/>
  <c r="AG529" i="1"/>
  <c r="AH529" i="1"/>
  <c r="AI529" i="1"/>
  <c r="AJ529" i="1"/>
  <c r="CX529" i="1" s="1"/>
  <c r="W529" i="1" s="1"/>
  <c r="CQ529" i="1"/>
  <c r="P529" i="1" s="1"/>
  <c r="CR529" i="1"/>
  <c r="Q529" i="1" s="1"/>
  <c r="CS529" i="1"/>
  <c r="R529" i="1" s="1"/>
  <c r="GK529" i="1" s="1"/>
  <c r="CU529" i="1"/>
  <c r="T529" i="1" s="1"/>
  <c r="CV529" i="1"/>
  <c r="U529" i="1" s="1"/>
  <c r="CW529" i="1"/>
  <c r="V529" i="1" s="1"/>
  <c r="FR529" i="1"/>
  <c r="GL529" i="1"/>
  <c r="GN529" i="1"/>
  <c r="GO529" i="1"/>
  <c r="GV529" i="1"/>
  <c r="HC529" i="1" s="1"/>
  <c r="GX529" i="1" s="1"/>
  <c r="C530" i="1"/>
  <c r="D530" i="1"/>
  <c r="AC530" i="1"/>
  <c r="AE530" i="1"/>
  <c r="AD530" i="1" s="1"/>
  <c r="AF530" i="1"/>
  <c r="AG530" i="1"/>
  <c r="CU530" i="1" s="1"/>
  <c r="T530" i="1" s="1"/>
  <c r="AH530" i="1"/>
  <c r="AI530" i="1"/>
  <c r="AJ530" i="1"/>
  <c r="CR530" i="1"/>
  <c r="Q530" i="1" s="1"/>
  <c r="CS530" i="1"/>
  <c r="R530" i="1" s="1"/>
  <c r="GK530" i="1" s="1"/>
  <c r="CT530" i="1"/>
  <c r="S530" i="1" s="1"/>
  <c r="CV530" i="1"/>
  <c r="U530" i="1" s="1"/>
  <c r="CW530" i="1"/>
  <c r="V530" i="1" s="1"/>
  <c r="CX530" i="1"/>
  <c r="W530" i="1" s="1"/>
  <c r="FR530" i="1"/>
  <c r="GL530" i="1"/>
  <c r="GN530" i="1"/>
  <c r="GO530" i="1"/>
  <c r="GV530" i="1"/>
  <c r="HC530" i="1"/>
  <c r="GX530" i="1" s="1"/>
  <c r="C531" i="1"/>
  <c r="D531" i="1"/>
  <c r="I531" i="1"/>
  <c r="AC531" i="1"/>
  <c r="AB531" i="1" s="1"/>
  <c r="AE531" i="1"/>
  <c r="AD531" i="1" s="1"/>
  <c r="AF531" i="1"/>
  <c r="AG531" i="1"/>
  <c r="CU531" i="1" s="1"/>
  <c r="T531" i="1" s="1"/>
  <c r="AH531" i="1"/>
  <c r="AI531" i="1"/>
  <c r="AJ531" i="1"/>
  <c r="CR531" i="1"/>
  <c r="Q531" i="1" s="1"/>
  <c r="CS531" i="1"/>
  <c r="R531" i="1" s="1"/>
  <c r="GK531" i="1" s="1"/>
  <c r="CT531" i="1"/>
  <c r="S531" i="1" s="1"/>
  <c r="CV531" i="1"/>
  <c r="U531" i="1" s="1"/>
  <c r="CW531" i="1"/>
  <c r="V531" i="1" s="1"/>
  <c r="CX531" i="1"/>
  <c r="W531" i="1" s="1"/>
  <c r="FR531" i="1"/>
  <c r="GL531" i="1"/>
  <c r="GN531" i="1"/>
  <c r="GO531" i="1"/>
  <c r="GV531" i="1"/>
  <c r="HC531" i="1"/>
  <c r="GX531" i="1" s="1"/>
  <c r="C532" i="1"/>
  <c r="D532" i="1"/>
  <c r="I532" i="1"/>
  <c r="AC532" i="1"/>
  <c r="AE532" i="1"/>
  <c r="AD532" i="1" s="1"/>
  <c r="AF532" i="1"/>
  <c r="AG532" i="1"/>
  <c r="CU532" i="1" s="1"/>
  <c r="T532" i="1" s="1"/>
  <c r="AH532" i="1"/>
  <c r="AI532" i="1"/>
  <c r="AJ532" i="1"/>
  <c r="CR532" i="1"/>
  <c r="Q532" i="1" s="1"/>
  <c r="CS532" i="1"/>
  <c r="R532" i="1" s="1"/>
  <c r="GK532" i="1" s="1"/>
  <c r="CT532" i="1"/>
  <c r="S532" i="1" s="1"/>
  <c r="CV532" i="1"/>
  <c r="U532" i="1" s="1"/>
  <c r="CW532" i="1"/>
  <c r="V532" i="1" s="1"/>
  <c r="CX532" i="1"/>
  <c r="W532" i="1" s="1"/>
  <c r="FR532" i="1"/>
  <c r="GL532" i="1"/>
  <c r="GN532" i="1"/>
  <c r="GO532" i="1"/>
  <c r="GV532" i="1"/>
  <c r="HC532" i="1"/>
  <c r="GX532" i="1" s="1"/>
  <c r="C533" i="1"/>
  <c r="D533" i="1"/>
  <c r="AC533" i="1"/>
  <c r="AB533" i="1" s="1"/>
  <c r="AD533" i="1"/>
  <c r="AE533" i="1"/>
  <c r="AF533" i="1"/>
  <c r="AG533" i="1"/>
  <c r="AH533" i="1"/>
  <c r="CV533" i="1" s="1"/>
  <c r="U533" i="1" s="1"/>
  <c r="AI533" i="1"/>
  <c r="AJ533" i="1"/>
  <c r="CQ533" i="1"/>
  <c r="P533" i="1" s="1"/>
  <c r="CR533" i="1"/>
  <c r="Q533" i="1" s="1"/>
  <c r="CS533" i="1"/>
  <c r="R533" i="1" s="1"/>
  <c r="GK533" i="1" s="1"/>
  <c r="CT533" i="1"/>
  <c r="S533" i="1" s="1"/>
  <c r="CU533" i="1"/>
  <c r="T533" i="1" s="1"/>
  <c r="CW533" i="1"/>
  <c r="V533" i="1" s="1"/>
  <c r="CX533" i="1"/>
  <c r="W533" i="1" s="1"/>
  <c r="FR533" i="1"/>
  <c r="GL533" i="1"/>
  <c r="GN533" i="1"/>
  <c r="GO533" i="1"/>
  <c r="GV533" i="1"/>
  <c r="HC533" i="1"/>
  <c r="GX533" i="1" s="1"/>
  <c r="C534" i="1"/>
  <c r="D534" i="1"/>
  <c r="AC534" i="1"/>
  <c r="AE534" i="1"/>
  <c r="AD534" i="1" s="1"/>
  <c r="AF534" i="1"/>
  <c r="AG534" i="1"/>
  <c r="AH534" i="1"/>
  <c r="AI534" i="1"/>
  <c r="CW534" i="1" s="1"/>
  <c r="V534" i="1" s="1"/>
  <c r="AJ534" i="1"/>
  <c r="CQ534" i="1"/>
  <c r="P534" i="1" s="1"/>
  <c r="CP534" i="1" s="1"/>
  <c r="O534" i="1" s="1"/>
  <c r="CR534" i="1"/>
  <c r="Q534" i="1" s="1"/>
  <c r="CT534" i="1"/>
  <c r="S534" i="1" s="1"/>
  <c r="CU534" i="1"/>
  <c r="T534" i="1" s="1"/>
  <c r="CV534" i="1"/>
  <c r="U534" i="1" s="1"/>
  <c r="CX534" i="1"/>
  <c r="W534" i="1" s="1"/>
  <c r="FR534" i="1"/>
  <c r="GL534" i="1"/>
  <c r="GN534" i="1"/>
  <c r="GO534" i="1"/>
  <c r="GV534" i="1"/>
  <c r="HC534" i="1" s="1"/>
  <c r="GX534" i="1" s="1"/>
  <c r="C535" i="1"/>
  <c r="D535" i="1"/>
  <c r="AC535" i="1"/>
  <c r="AE535" i="1"/>
  <c r="AD535" i="1" s="1"/>
  <c r="AB535" i="1" s="1"/>
  <c r="AF535" i="1"/>
  <c r="CT535" i="1" s="1"/>
  <c r="S535" i="1" s="1"/>
  <c r="AG535" i="1"/>
  <c r="AH535" i="1"/>
  <c r="AI535" i="1"/>
  <c r="AJ535" i="1"/>
  <c r="CX535" i="1" s="1"/>
  <c r="W535" i="1" s="1"/>
  <c r="CQ535" i="1"/>
  <c r="P535" i="1" s="1"/>
  <c r="CR535" i="1"/>
  <c r="Q535" i="1" s="1"/>
  <c r="CS535" i="1"/>
  <c r="R535" i="1" s="1"/>
  <c r="GK535" i="1" s="1"/>
  <c r="CU535" i="1"/>
  <c r="T535" i="1" s="1"/>
  <c r="CV535" i="1"/>
  <c r="U535" i="1" s="1"/>
  <c r="CW535" i="1"/>
  <c r="V535" i="1" s="1"/>
  <c r="FR535" i="1"/>
  <c r="BY538" i="1" s="1"/>
  <c r="GL535" i="1"/>
  <c r="GN535" i="1"/>
  <c r="CB538" i="1" s="1"/>
  <c r="GO535" i="1"/>
  <c r="GV535" i="1"/>
  <c r="HC535" i="1" s="1"/>
  <c r="GX535" i="1" s="1"/>
  <c r="B538" i="1"/>
  <c r="B521" i="1" s="1"/>
  <c r="C538" i="1"/>
  <c r="C521" i="1" s="1"/>
  <c r="D538" i="1"/>
  <c r="D521" i="1" s="1"/>
  <c r="F538" i="1"/>
  <c r="F521" i="1" s="1"/>
  <c r="G538" i="1"/>
  <c r="G521" i="1" s="1"/>
  <c r="BX538" i="1"/>
  <c r="BX521" i="1" s="1"/>
  <c r="BZ538" i="1"/>
  <c r="AQ538" i="1" s="1"/>
  <c r="CC538" i="1"/>
  <c r="AT538" i="1" s="1"/>
  <c r="CG538" i="1"/>
  <c r="AX538" i="1" s="1"/>
  <c r="CK538" i="1"/>
  <c r="BB538" i="1" s="1"/>
  <c r="CL538" i="1"/>
  <c r="BC538" i="1" s="1"/>
  <c r="CM538" i="1"/>
  <c r="CM521" i="1" s="1"/>
  <c r="B568" i="1"/>
  <c r="B481" i="1" s="1"/>
  <c r="C568" i="1"/>
  <c r="C481" i="1" s="1"/>
  <c r="D568" i="1"/>
  <c r="D481" i="1" s="1"/>
  <c r="F568" i="1"/>
  <c r="F481" i="1" s="1"/>
  <c r="G568" i="1"/>
  <c r="G481" i="1" s="1"/>
  <c r="D598" i="1"/>
  <c r="E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BE600" i="1"/>
  <c r="BF600" i="1"/>
  <c r="BG600" i="1"/>
  <c r="BH600" i="1"/>
  <c r="BI600" i="1"/>
  <c r="BJ600" i="1"/>
  <c r="BK600" i="1"/>
  <c r="BL600" i="1"/>
  <c r="BM600" i="1"/>
  <c r="BN600" i="1"/>
  <c r="BO600" i="1"/>
  <c r="BP600" i="1"/>
  <c r="BQ600" i="1"/>
  <c r="BR600" i="1"/>
  <c r="BS600" i="1"/>
  <c r="BT600" i="1"/>
  <c r="BU600" i="1"/>
  <c r="BV600" i="1"/>
  <c r="BW600" i="1"/>
  <c r="BX600" i="1"/>
  <c r="BY600" i="1"/>
  <c r="BZ600" i="1"/>
  <c r="CA600" i="1"/>
  <c r="CB600" i="1"/>
  <c r="CC600" i="1"/>
  <c r="CD600" i="1"/>
  <c r="CE600" i="1"/>
  <c r="CF600" i="1"/>
  <c r="CG600" i="1"/>
  <c r="CH600" i="1"/>
  <c r="CI600" i="1"/>
  <c r="CJ600" i="1"/>
  <c r="CK600" i="1"/>
  <c r="CL600" i="1"/>
  <c r="CM600" i="1"/>
  <c r="CN600" i="1"/>
  <c r="CO600" i="1"/>
  <c r="CP600" i="1"/>
  <c r="CQ600" i="1"/>
  <c r="CR600" i="1"/>
  <c r="CS600" i="1"/>
  <c r="CT600" i="1"/>
  <c r="CU600" i="1"/>
  <c r="CV600" i="1"/>
  <c r="CW600" i="1"/>
  <c r="CX600" i="1"/>
  <c r="CY600" i="1"/>
  <c r="CZ600" i="1"/>
  <c r="DA600" i="1"/>
  <c r="DB600" i="1"/>
  <c r="DC600" i="1"/>
  <c r="DD600" i="1"/>
  <c r="DE600" i="1"/>
  <c r="DF600" i="1"/>
  <c r="DG600" i="1"/>
  <c r="DH600" i="1"/>
  <c r="DI600" i="1"/>
  <c r="DJ600" i="1"/>
  <c r="DK600" i="1"/>
  <c r="DL600" i="1"/>
  <c r="DM600" i="1"/>
  <c r="DN600" i="1"/>
  <c r="DO600" i="1"/>
  <c r="DP600" i="1"/>
  <c r="DQ600" i="1"/>
  <c r="DR600" i="1"/>
  <c r="DS600" i="1"/>
  <c r="DT600" i="1"/>
  <c r="DU600" i="1"/>
  <c r="DV600" i="1"/>
  <c r="DW600" i="1"/>
  <c r="DX600" i="1"/>
  <c r="DY600" i="1"/>
  <c r="DZ600" i="1"/>
  <c r="EA600" i="1"/>
  <c r="EB600" i="1"/>
  <c r="EC600" i="1"/>
  <c r="ED600" i="1"/>
  <c r="EE600" i="1"/>
  <c r="EF600" i="1"/>
  <c r="EG600" i="1"/>
  <c r="EH600" i="1"/>
  <c r="EI600" i="1"/>
  <c r="EJ600" i="1"/>
  <c r="EK600" i="1"/>
  <c r="EL600" i="1"/>
  <c r="EM600" i="1"/>
  <c r="EN600" i="1"/>
  <c r="EO600" i="1"/>
  <c r="EP600" i="1"/>
  <c r="EQ600" i="1"/>
  <c r="ER600" i="1"/>
  <c r="ES600" i="1"/>
  <c r="ET600" i="1"/>
  <c r="EU600" i="1"/>
  <c r="EV600" i="1"/>
  <c r="EW600" i="1"/>
  <c r="EX600" i="1"/>
  <c r="EY600" i="1"/>
  <c r="EZ600" i="1"/>
  <c r="FA600" i="1"/>
  <c r="FB600" i="1"/>
  <c r="FC600" i="1"/>
  <c r="FD600" i="1"/>
  <c r="FE600" i="1"/>
  <c r="FF600" i="1"/>
  <c r="FG600" i="1"/>
  <c r="FH600" i="1"/>
  <c r="FI600" i="1"/>
  <c r="FJ600" i="1"/>
  <c r="FK600" i="1"/>
  <c r="FL600" i="1"/>
  <c r="FM600" i="1"/>
  <c r="FN600" i="1"/>
  <c r="FO600" i="1"/>
  <c r="FP600" i="1"/>
  <c r="FQ600" i="1"/>
  <c r="FR600" i="1"/>
  <c r="FS600" i="1"/>
  <c r="FT600" i="1"/>
  <c r="FU600" i="1"/>
  <c r="FV600" i="1"/>
  <c r="FW600" i="1"/>
  <c r="FX600" i="1"/>
  <c r="FY600" i="1"/>
  <c r="FZ600" i="1"/>
  <c r="GA600" i="1"/>
  <c r="GB600" i="1"/>
  <c r="GC600" i="1"/>
  <c r="GD600" i="1"/>
  <c r="GE600" i="1"/>
  <c r="GF600" i="1"/>
  <c r="GG600" i="1"/>
  <c r="GH600" i="1"/>
  <c r="GI600" i="1"/>
  <c r="GJ600" i="1"/>
  <c r="GK600" i="1"/>
  <c r="GL600" i="1"/>
  <c r="GM600" i="1"/>
  <c r="GN600" i="1"/>
  <c r="GO600" i="1"/>
  <c r="GP600" i="1"/>
  <c r="GQ600" i="1"/>
  <c r="GR600" i="1"/>
  <c r="GS600" i="1"/>
  <c r="GT600" i="1"/>
  <c r="GU600" i="1"/>
  <c r="GV600" i="1"/>
  <c r="GW600" i="1"/>
  <c r="GX600" i="1"/>
  <c r="D602" i="1"/>
  <c r="E604" i="1"/>
  <c r="Z604" i="1"/>
  <c r="AA604" i="1"/>
  <c r="AM604" i="1"/>
  <c r="AN604" i="1"/>
  <c r="BE604" i="1"/>
  <c r="BF604" i="1"/>
  <c r="BG604" i="1"/>
  <c r="BH604" i="1"/>
  <c r="BI604" i="1"/>
  <c r="BJ604" i="1"/>
  <c r="BK604" i="1"/>
  <c r="BL604" i="1"/>
  <c r="BM604" i="1"/>
  <c r="BN604" i="1"/>
  <c r="BO604" i="1"/>
  <c r="BP604" i="1"/>
  <c r="BQ604" i="1"/>
  <c r="BR604" i="1"/>
  <c r="BS604" i="1"/>
  <c r="BT604" i="1"/>
  <c r="BU604" i="1"/>
  <c r="BV604" i="1"/>
  <c r="BW604" i="1"/>
  <c r="CN604" i="1"/>
  <c r="CO604" i="1"/>
  <c r="CP604" i="1"/>
  <c r="CQ604" i="1"/>
  <c r="CR604" i="1"/>
  <c r="CS604" i="1"/>
  <c r="CT604" i="1"/>
  <c r="CU604" i="1"/>
  <c r="CV604" i="1"/>
  <c r="CW604" i="1"/>
  <c r="CX604" i="1"/>
  <c r="CY604" i="1"/>
  <c r="CZ604" i="1"/>
  <c r="DA604" i="1"/>
  <c r="DB604" i="1"/>
  <c r="DC604" i="1"/>
  <c r="DD604" i="1"/>
  <c r="DE604" i="1"/>
  <c r="DF604" i="1"/>
  <c r="DG604" i="1"/>
  <c r="DH604" i="1"/>
  <c r="DI604" i="1"/>
  <c r="DJ604" i="1"/>
  <c r="DK604" i="1"/>
  <c r="DL604" i="1"/>
  <c r="DM604" i="1"/>
  <c r="DN604" i="1"/>
  <c r="DO604" i="1"/>
  <c r="DP604" i="1"/>
  <c r="DQ604" i="1"/>
  <c r="DR604" i="1"/>
  <c r="DS604" i="1"/>
  <c r="DT604" i="1"/>
  <c r="DU604" i="1"/>
  <c r="DV604" i="1"/>
  <c r="DW604" i="1"/>
  <c r="DX604" i="1"/>
  <c r="DY604" i="1"/>
  <c r="DZ604" i="1"/>
  <c r="EA604" i="1"/>
  <c r="EB604" i="1"/>
  <c r="EC604" i="1"/>
  <c r="ED604" i="1"/>
  <c r="EE604" i="1"/>
  <c r="EF604" i="1"/>
  <c r="EG604" i="1"/>
  <c r="EH604" i="1"/>
  <c r="EI604" i="1"/>
  <c r="EJ604" i="1"/>
  <c r="EK604" i="1"/>
  <c r="EL604" i="1"/>
  <c r="EM604" i="1"/>
  <c r="EN604" i="1"/>
  <c r="EO604" i="1"/>
  <c r="EP604" i="1"/>
  <c r="EQ604" i="1"/>
  <c r="ER604" i="1"/>
  <c r="ES604" i="1"/>
  <c r="ET604" i="1"/>
  <c r="EU604" i="1"/>
  <c r="EV604" i="1"/>
  <c r="EW604" i="1"/>
  <c r="EX604" i="1"/>
  <c r="EY604" i="1"/>
  <c r="EZ604" i="1"/>
  <c r="FA604" i="1"/>
  <c r="FB604" i="1"/>
  <c r="FC604" i="1"/>
  <c r="FD604" i="1"/>
  <c r="FE604" i="1"/>
  <c r="FF604" i="1"/>
  <c r="FG604" i="1"/>
  <c r="FH604" i="1"/>
  <c r="FI604" i="1"/>
  <c r="FJ604" i="1"/>
  <c r="FK604" i="1"/>
  <c r="FL604" i="1"/>
  <c r="FM604" i="1"/>
  <c r="FN604" i="1"/>
  <c r="FO604" i="1"/>
  <c r="FP604" i="1"/>
  <c r="FQ604" i="1"/>
  <c r="FR604" i="1"/>
  <c r="FS604" i="1"/>
  <c r="FT604" i="1"/>
  <c r="FU604" i="1"/>
  <c r="FV604" i="1"/>
  <c r="FW604" i="1"/>
  <c r="FX604" i="1"/>
  <c r="FY604" i="1"/>
  <c r="FZ604" i="1"/>
  <c r="GA604" i="1"/>
  <c r="GB604" i="1"/>
  <c r="GC604" i="1"/>
  <c r="GD604" i="1"/>
  <c r="GE604" i="1"/>
  <c r="GF604" i="1"/>
  <c r="GG604" i="1"/>
  <c r="GH604" i="1"/>
  <c r="GI604" i="1"/>
  <c r="GJ604" i="1"/>
  <c r="GK604" i="1"/>
  <c r="GL604" i="1"/>
  <c r="GM604" i="1"/>
  <c r="GN604" i="1"/>
  <c r="GO604" i="1"/>
  <c r="GP604" i="1"/>
  <c r="GQ604" i="1"/>
  <c r="GR604" i="1"/>
  <c r="GS604" i="1"/>
  <c r="GT604" i="1"/>
  <c r="GU604" i="1"/>
  <c r="GV604" i="1"/>
  <c r="GW604" i="1"/>
  <c r="GX604" i="1"/>
  <c r="C606" i="1"/>
  <c r="D606" i="1"/>
  <c r="AC606" i="1"/>
  <c r="AB606" i="1" s="1"/>
  <c r="AD606" i="1"/>
  <c r="AE606" i="1"/>
  <c r="AF606" i="1"/>
  <c r="AG606" i="1"/>
  <c r="AH606" i="1"/>
  <c r="CV606" i="1" s="1"/>
  <c r="U606" i="1" s="1"/>
  <c r="AI606" i="1"/>
  <c r="AJ606" i="1"/>
  <c r="CQ606" i="1"/>
  <c r="P606" i="1" s="1"/>
  <c r="CR606" i="1"/>
  <c r="Q606" i="1" s="1"/>
  <c r="CS606" i="1"/>
  <c r="R606" i="1" s="1"/>
  <c r="CT606" i="1"/>
  <c r="S606" i="1" s="1"/>
  <c r="CU606" i="1"/>
  <c r="T606" i="1" s="1"/>
  <c r="CW606" i="1"/>
  <c r="V606" i="1" s="1"/>
  <c r="CX606" i="1"/>
  <c r="W606" i="1" s="1"/>
  <c r="FR606" i="1"/>
  <c r="GL606" i="1"/>
  <c r="GN606" i="1"/>
  <c r="GO606" i="1"/>
  <c r="GV606" i="1"/>
  <c r="HC606" i="1"/>
  <c r="GX606" i="1" s="1"/>
  <c r="CJ610" i="1" s="1"/>
  <c r="C607" i="1"/>
  <c r="D607" i="1"/>
  <c r="I607" i="1"/>
  <c r="AC607" i="1"/>
  <c r="AD607" i="1"/>
  <c r="AB607" i="1" s="1"/>
  <c r="AE607" i="1"/>
  <c r="AF607" i="1"/>
  <c r="AG607" i="1"/>
  <c r="AH607" i="1"/>
  <c r="CV607" i="1" s="1"/>
  <c r="U607" i="1" s="1"/>
  <c r="AI607" i="1"/>
  <c r="AJ607" i="1"/>
  <c r="CQ607" i="1"/>
  <c r="P607" i="1" s="1"/>
  <c r="CR607" i="1"/>
  <c r="Q607" i="1" s="1"/>
  <c r="CS607" i="1"/>
  <c r="R607" i="1" s="1"/>
  <c r="GK607" i="1" s="1"/>
  <c r="CT607" i="1"/>
  <c r="S607" i="1" s="1"/>
  <c r="CU607" i="1"/>
  <c r="T607" i="1" s="1"/>
  <c r="CW607" i="1"/>
  <c r="V607" i="1" s="1"/>
  <c r="CX607" i="1"/>
  <c r="W607" i="1" s="1"/>
  <c r="FR607" i="1"/>
  <c r="GL607" i="1"/>
  <c r="GN607" i="1"/>
  <c r="GO607" i="1"/>
  <c r="GV607" i="1"/>
  <c r="GX607" i="1"/>
  <c r="HC607" i="1"/>
  <c r="C608" i="1"/>
  <c r="D608" i="1"/>
  <c r="I608" i="1"/>
  <c r="AC608" i="1"/>
  <c r="AD608" i="1"/>
  <c r="AB608" i="1" s="1"/>
  <c r="AE608" i="1"/>
  <c r="AF608" i="1"/>
  <c r="CT608" i="1" s="1"/>
  <c r="S608" i="1" s="1"/>
  <c r="AG608" i="1"/>
  <c r="AH608" i="1"/>
  <c r="CV608" i="1" s="1"/>
  <c r="U608" i="1" s="1"/>
  <c r="AI608" i="1"/>
  <c r="AJ608" i="1"/>
  <c r="CX608" i="1" s="1"/>
  <c r="W608" i="1" s="1"/>
  <c r="CQ608" i="1"/>
  <c r="P608" i="1" s="1"/>
  <c r="CR608" i="1"/>
  <c r="Q608" i="1" s="1"/>
  <c r="CS608" i="1"/>
  <c r="R608" i="1" s="1"/>
  <c r="GK608" i="1" s="1"/>
  <c r="CU608" i="1"/>
  <c r="T608" i="1" s="1"/>
  <c r="CW608" i="1"/>
  <c r="V608" i="1" s="1"/>
  <c r="FR608" i="1"/>
  <c r="GL608" i="1"/>
  <c r="BZ610" i="1" s="1"/>
  <c r="GN608" i="1"/>
  <c r="GO608" i="1"/>
  <c r="GV608" i="1"/>
  <c r="GX608" i="1"/>
  <c r="HC608" i="1"/>
  <c r="B610" i="1"/>
  <c r="B604" i="1" s="1"/>
  <c r="C610" i="1"/>
  <c r="C604" i="1" s="1"/>
  <c r="D610" i="1"/>
  <c r="D604" i="1" s="1"/>
  <c r="F610" i="1"/>
  <c r="F604" i="1" s="1"/>
  <c r="G610" i="1"/>
  <c r="G604" i="1" s="1"/>
  <c r="BX610" i="1"/>
  <c r="BX604" i="1" s="1"/>
  <c r="BY610" i="1"/>
  <c r="CI610" i="1" s="1"/>
  <c r="CB610" i="1"/>
  <c r="CB604" i="1" s="1"/>
  <c r="CC610" i="1"/>
  <c r="CC604" i="1" s="1"/>
  <c r="CK610" i="1"/>
  <c r="CK604" i="1" s="1"/>
  <c r="CL610" i="1"/>
  <c r="CL604" i="1" s="1"/>
  <c r="CM610" i="1"/>
  <c r="BD610" i="1" s="1"/>
  <c r="B640" i="1"/>
  <c r="B600" i="1" s="1"/>
  <c r="C640" i="1"/>
  <c r="C600" i="1" s="1"/>
  <c r="D640" i="1"/>
  <c r="D600" i="1" s="1"/>
  <c r="F640" i="1"/>
  <c r="F600" i="1" s="1"/>
  <c r="G640" i="1"/>
  <c r="G600" i="1" s="1"/>
  <c r="D670" i="1"/>
  <c r="D672" i="1"/>
  <c r="E672" i="1"/>
  <c r="O672" i="1"/>
  <c r="S672" i="1"/>
  <c r="W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Q672" i="1"/>
  <c r="AU672" i="1"/>
  <c r="AY672" i="1"/>
  <c r="BC672" i="1"/>
  <c r="BE672" i="1"/>
  <c r="BF672" i="1"/>
  <c r="BG672" i="1"/>
  <c r="BH672" i="1"/>
  <c r="BI672" i="1"/>
  <c r="BJ672" i="1"/>
  <c r="BK672" i="1"/>
  <c r="BL672" i="1"/>
  <c r="BM672" i="1"/>
  <c r="BN672" i="1"/>
  <c r="BO672" i="1"/>
  <c r="BP672" i="1"/>
  <c r="BQ672" i="1"/>
  <c r="BR672" i="1"/>
  <c r="BS672" i="1"/>
  <c r="BT672" i="1"/>
  <c r="BU672" i="1"/>
  <c r="BV672" i="1"/>
  <c r="BW672" i="1"/>
  <c r="BX672" i="1"/>
  <c r="BY672" i="1"/>
  <c r="BZ672" i="1"/>
  <c r="CA672" i="1"/>
  <c r="CB672" i="1"/>
  <c r="CC672" i="1"/>
  <c r="CD672" i="1"/>
  <c r="CE672" i="1"/>
  <c r="CF672" i="1"/>
  <c r="CG672" i="1"/>
  <c r="CH672" i="1"/>
  <c r="CI672" i="1"/>
  <c r="CJ672" i="1"/>
  <c r="CK672" i="1"/>
  <c r="CL672" i="1"/>
  <c r="CM672" i="1"/>
  <c r="CN672" i="1"/>
  <c r="CO672" i="1"/>
  <c r="CP672" i="1"/>
  <c r="CQ672" i="1"/>
  <c r="CR672" i="1"/>
  <c r="CS672" i="1"/>
  <c r="CT672" i="1"/>
  <c r="CU672" i="1"/>
  <c r="CV672" i="1"/>
  <c r="CW672" i="1"/>
  <c r="CX672" i="1"/>
  <c r="CY672" i="1"/>
  <c r="CZ672" i="1"/>
  <c r="DA672" i="1"/>
  <c r="DB672" i="1"/>
  <c r="DC672" i="1"/>
  <c r="DD672" i="1"/>
  <c r="DE672" i="1"/>
  <c r="DF672" i="1"/>
  <c r="DG672" i="1"/>
  <c r="DH672" i="1"/>
  <c r="DI672" i="1"/>
  <c r="DJ672" i="1"/>
  <c r="DK672" i="1"/>
  <c r="DL672" i="1"/>
  <c r="DM672" i="1"/>
  <c r="DN672" i="1"/>
  <c r="DO672" i="1"/>
  <c r="DP672" i="1"/>
  <c r="DQ672" i="1"/>
  <c r="DR672" i="1"/>
  <c r="DS672" i="1"/>
  <c r="DT672" i="1"/>
  <c r="DU672" i="1"/>
  <c r="DV672" i="1"/>
  <c r="DW672" i="1"/>
  <c r="DX672" i="1"/>
  <c r="DY672" i="1"/>
  <c r="DZ672" i="1"/>
  <c r="EA672" i="1"/>
  <c r="EB672" i="1"/>
  <c r="EC672" i="1"/>
  <c r="ED672" i="1"/>
  <c r="EE672" i="1"/>
  <c r="EF672" i="1"/>
  <c r="EG672" i="1"/>
  <c r="EH672" i="1"/>
  <c r="EI672" i="1"/>
  <c r="EJ672" i="1"/>
  <c r="EK672" i="1"/>
  <c r="EL672" i="1"/>
  <c r="EM672" i="1"/>
  <c r="EN672" i="1"/>
  <c r="EO672" i="1"/>
  <c r="EP672" i="1"/>
  <c r="EQ672" i="1"/>
  <c r="ER672" i="1"/>
  <c r="ES672" i="1"/>
  <c r="ET672" i="1"/>
  <c r="EU672" i="1"/>
  <c r="EV672" i="1"/>
  <c r="EW672" i="1"/>
  <c r="EX672" i="1"/>
  <c r="EY672" i="1"/>
  <c r="EZ672" i="1"/>
  <c r="FA672" i="1"/>
  <c r="FB672" i="1"/>
  <c r="FC672" i="1"/>
  <c r="FD672" i="1"/>
  <c r="FE672" i="1"/>
  <c r="FF672" i="1"/>
  <c r="FG672" i="1"/>
  <c r="FH672" i="1"/>
  <c r="FI672" i="1"/>
  <c r="FJ672" i="1"/>
  <c r="FK672" i="1"/>
  <c r="FL672" i="1"/>
  <c r="FM672" i="1"/>
  <c r="FN672" i="1"/>
  <c r="FO672" i="1"/>
  <c r="FP672" i="1"/>
  <c r="FQ672" i="1"/>
  <c r="FR672" i="1"/>
  <c r="FS672" i="1"/>
  <c r="FT672" i="1"/>
  <c r="FU672" i="1"/>
  <c r="FV672" i="1"/>
  <c r="FW672" i="1"/>
  <c r="FX672" i="1"/>
  <c r="FY672" i="1"/>
  <c r="FZ672" i="1"/>
  <c r="GA672" i="1"/>
  <c r="GB672" i="1"/>
  <c r="GC672" i="1"/>
  <c r="GD672" i="1"/>
  <c r="GE672" i="1"/>
  <c r="GF672" i="1"/>
  <c r="GG672" i="1"/>
  <c r="GH672" i="1"/>
  <c r="GI672" i="1"/>
  <c r="GJ672" i="1"/>
  <c r="GK672" i="1"/>
  <c r="GL672" i="1"/>
  <c r="GM672" i="1"/>
  <c r="GN672" i="1"/>
  <c r="GO672" i="1"/>
  <c r="GP672" i="1"/>
  <c r="GQ672" i="1"/>
  <c r="GR672" i="1"/>
  <c r="GS672" i="1"/>
  <c r="GT672" i="1"/>
  <c r="GU672" i="1"/>
  <c r="GV672" i="1"/>
  <c r="GW672" i="1"/>
  <c r="GX672" i="1"/>
  <c r="B674" i="1"/>
  <c r="B672" i="1" s="1"/>
  <c r="C674" i="1"/>
  <c r="C672" i="1" s="1"/>
  <c r="D674" i="1"/>
  <c r="F674" i="1"/>
  <c r="F672" i="1" s="1"/>
  <c r="G674" i="1"/>
  <c r="G672" i="1" s="1"/>
  <c r="O674" i="1"/>
  <c r="P674" i="1"/>
  <c r="P672" i="1" s="1"/>
  <c r="Q674" i="1"/>
  <c r="Q672" i="1" s="1"/>
  <c r="R674" i="1"/>
  <c r="R672" i="1" s="1"/>
  <c r="S674" i="1"/>
  <c r="T674" i="1"/>
  <c r="T672" i="1" s="1"/>
  <c r="U674" i="1"/>
  <c r="U672" i="1" s="1"/>
  <c r="V674" i="1"/>
  <c r="V672" i="1" s="1"/>
  <c r="W674" i="1"/>
  <c r="F698" i="1" s="1"/>
  <c r="X674" i="1"/>
  <c r="X672" i="1" s="1"/>
  <c r="Y674" i="1"/>
  <c r="Y672" i="1" s="1"/>
  <c r="AO674" i="1"/>
  <c r="AO672" i="1" s="1"/>
  <c r="AP674" i="1"/>
  <c r="AP672" i="1" s="1"/>
  <c r="AQ674" i="1"/>
  <c r="AR674" i="1"/>
  <c r="AR672" i="1" s="1"/>
  <c r="AS674" i="1"/>
  <c r="AS672" i="1" s="1"/>
  <c r="AT674" i="1"/>
  <c r="AT672" i="1" s="1"/>
  <c r="AU674" i="1"/>
  <c r="AV674" i="1"/>
  <c r="AV672" i="1" s="1"/>
  <c r="AW674" i="1"/>
  <c r="AW672" i="1" s="1"/>
  <c r="AX674" i="1"/>
  <c r="AX672" i="1" s="1"/>
  <c r="AY674" i="1"/>
  <c r="AZ674" i="1"/>
  <c r="AZ672" i="1" s="1"/>
  <c r="BA674" i="1"/>
  <c r="BA672" i="1" s="1"/>
  <c r="BB674" i="1"/>
  <c r="BB672" i="1" s="1"/>
  <c r="BC674" i="1"/>
  <c r="BD674" i="1"/>
  <c r="BD672" i="1" s="1"/>
  <c r="F676" i="1"/>
  <c r="F677" i="1"/>
  <c r="F679" i="1"/>
  <c r="F680" i="1"/>
  <c r="F681" i="1"/>
  <c r="F682" i="1"/>
  <c r="F684" i="1"/>
  <c r="F685" i="1"/>
  <c r="F686" i="1"/>
  <c r="F688" i="1"/>
  <c r="F689" i="1"/>
  <c r="F690" i="1"/>
  <c r="F692" i="1"/>
  <c r="F693" i="1"/>
  <c r="F695" i="1"/>
  <c r="F696" i="1"/>
  <c r="F699" i="1"/>
  <c r="F700" i="1"/>
  <c r="F701" i="1"/>
  <c r="F702" i="1"/>
  <c r="D704" i="1"/>
  <c r="E706" i="1"/>
  <c r="Z706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BE706" i="1"/>
  <c r="BF706" i="1"/>
  <c r="BG706" i="1"/>
  <c r="BH706" i="1"/>
  <c r="BI706" i="1"/>
  <c r="BJ706" i="1"/>
  <c r="BK706" i="1"/>
  <c r="BL706" i="1"/>
  <c r="BM706" i="1"/>
  <c r="BN706" i="1"/>
  <c r="BO706" i="1"/>
  <c r="BP706" i="1"/>
  <c r="BQ706" i="1"/>
  <c r="BR706" i="1"/>
  <c r="BS706" i="1"/>
  <c r="BT706" i="1"/>
  <c r="BU706" i="1"/>
  <c r="BV706" i="1"/>
  <c r="BW706" i="1"/>
  <c r="BX706" i="1"/>
  <c r="BY706" i="1"/>
  <c r="BZ706" i="1"/>
  <c r="CA706" i="1"/>
  <c r="CB706" i="1"/>
  <c r="CC706" i="1"/>
  <c r="CD706" i="1"/>
  <c r="CE706" i="1"/>
  <c r="CF706" i="1"/>
  <c r="CG706" i="1"/>
  <c r="CH706" i="1"/>
  <c r="CI706" i="1"/>
  <c r="CJ706" i="1"/>
  <c r="CK706" i="1"/>
  <c r="CL706" i="1"/>
  <c r="CM706" i="1"/>
  <c r="CN706" i="1"/>
  <c r="CO706" i="1"/>
  <c r="CP706" i="1"/>
  <c r="CQ706" i="1"/>
  <c r="CR706" i="1"/>
  <c r="CS706" i="1"/>
  <c r="CT706" i="1"/>
  <c r="CU706" i="1"/>
  <c r="CV706" i="1"/>
  <c r="CW706" i="1"/>
  <c r="CX706" i="1"/>
  <c r="CY706" i="1"/>
  <c r="CZ706" i="1"/>
  <c r="DA706" i="1"/>
  <c r="DB706" i="1"/>
  <c r="DC706" i="1"/>
  <c r="DD706" i="1"/>
  <c r="DE706" i="1"/>
  <c r="DF706" i="1"/>
  <c r="DG706" i="1"/>
  <c r="DH706" i="1"/>
  <c r="DI706" i="1"/>
  <c r="DJ706" i="1"/>
  <c r="DK706" i="1"/>
  <c r="DL706" i="1"/>
  <c r="DM706" i="1"/>
  <c r="DN706" i="1"/>
  <c r="DO706" i="1"/>
  <c r="DP706" i="1"/>
  <c r="DQ706" i="1"/>
  <c r="DR706" i="1"/>
  <c r="DS706" i="1"/>
  <c r="DT706" i="1"/>
  <c r="DU706" i="1"/>
  <c r="DV706" i="1"/>
  <c r="DW706" i="1"/>
  <c r="DX706" i="1"/>
  <c r="DY706" i="1"/>
  <c r="DZ706" i="1"/>
  <c r="EA706" i="1"/>
  <c r="EB706" i="1"/>
  <c r="EC706" i="1"/>
  <c r="ED706" i="1"/>
  <c r="EE706" i="1"/>
  <c r="EF706" i="1"/>
  <c r="EG706" i="1"/>
  <c r="EH706" i="1"/>
  <c r="EI706" i="1"/>
  <c r="EJ706" i="1"/>
  <c r="EK706" i="1"/>
  <c r="EL706" i="1"/>
  <c r="EM706" i="1"/>
  <c r="EN706" i="1"/>
  <c r="EO706" i="1"/>
  <c r="EP706" i="1"/>
  <c r="EQ706" i="1"/>
  <c r="ER706" i="1"/>
  <c r="ES706" i="1"/>
  <c r="ET706" i="1"/>
  <c r="EU706" i="1"/>
  <c r="EV706" i="1"/>
  <c r="EW706" i="1"/>
  <c r="EX706" i="1"/>
  <c r="EY706" i="1"/>
  <c r="EZ706" i="1"/>
  <c r="FA706" i="1"/>
  <c r="FB706" i="1"/>
  <c r="FC706" i="1"/>
  <c r="FD706" i="1"/>
  <c r="FE706" i="1"/>
  <c r="FF706" i="1"/>
  <c r="FG706" i="1"/>
  <c r="FH706" i="1"/>
  <c r="FI706" i="1"/>
  <c r="FJ706" i="1"/>
  <c r="FK706" i="1"/>
  <c r="FL706" i="1"/>
  <c r="FM706" i="1"/>
  <c r="FN706" i="1"/>
  <c r="FO706" i="1"/>
  <c r="FP706" i="1"/>
  <c r="FQ706" i="1"/>
  <c r="FR706" i="1"/>
  <c r="FS706" i="1"/>
  <c r="FT706" i="1"/>
  <c r="FU706" i="1"/>
  <c r="FV706" i="1"/>
  <c r="FW706" i="1"/>
  <c r="FX706" i="1"/>
  <c r="FY706" i="1"/>
  <c r="FZ706" i="1"/>
  <c r="GA706" i="1"/>
  <c r="GB706" i="1"/>
  <c r="GC706" i="1"/>
  <c r="GD706" i="1"/>
  <c r="GE706" i="1"/>
  <c r="GF706" i="1"/>
  <c r="GG706" i="1"/>
  <c r="GH706" i="1"/>
  <c r="GI706" i="1"/>
  <c r="GJ706" i="1"/>
  <c r="GK706" i="1"/>
  <c r="GL706" i="1"/>
  <c r="GM706" i="1"/>
  <c r="GN706" i="1"/>
  <c r="GO706" i="1"/>
  <c r="GP706" i="1"/>
  <c r="GQ706" i="1"/>
  <c r="GR706" i="1"/>
  <c r="GS706" i="1"/>
  <c r="GT706" i="1"/>
  <c r="GU706" i="1"/>
  <c r="GV706" i="1"/>
  <c r="GW706" i="1"/>
  <c r="GX706" i="1"/>
  <c r="D708" i="1"/>
  <c r="E710" i="1"/>
  <c r="G710" i="1"/>
  <c r="Z710" i="1"/>
  <c r="AA710" i="1"/>
  <c r="AM710" i="1"/>
  <c r="AN710" i="1"/>
  <c r="BE710" i="1"/>
  <c r="BF710" i="1"/>
  <c r="BG710" i="1"/>
  <c r="BH710" i="1"/>
  <c r="BI710" i="1"/>
  <c r="BJ710" i="1"/>
  <c r="BK710" i="1"/>
  <c r="BL710" i="1"/>
  <c r="BM710" i="1"/>
  <c r="BN710" i="1"/>
  <c r="BO710" i="1"/>
  <c r="BP710" i="1"/>
  <c r="BQ710" i="1"/>
  <c r="BR710" i="1"/>
  <c r="BS710" i="1"/>
  <c r="BT710" i="1"/>
  <c r="BU710" i="1"/>
  <c r="BV710" i="1"/>
  <c r="BW710" i="1"/>
  <c r="CN710" i="1"/>
  <c r="CO710" i="1"/>
  <c r="CP710" i="1"/>
  <c r="CQ710" i="1"/>
  <c r="CR710" i="1"/>
  <c r="CS710" i="1"/>
  <c r="CT710" i="1"/>
  <c r="CU710" i="1"/>
  <c r="CV710" i="1"/>
  <c r="CW710" i="1"/>
  <c r="CX710" i="1"/>
  <c r="CY710" i="1"/>
  <c r="CZ710" i="1"/>
  <c r="DA710" i="1"/>
  <c r="DB710" i="1"/>
  <c r="DC710" i="1"/>
  <c r="DD710" i="1"/>
  <c r="DE710" i="1"/>
  <c r="DF710" i="1"/>
  <c r="DG710" i="1"/>
  <c r="DH710" i="1"/>
  <c r="DI710" i="1"/>
  <c r="DJ710" i="1"/>
  <c r="DK710" i="1"/>
  <c r="DL710" i="1"/>
  <c r="DM710" i="1"/>
  <c r="DN710" i="1"/>
  <c r="DO710" i="1"/>
  <c r="DP710" i="1"/>
  <c r="DQ710" i="1"/>
  <c r="DR710" i="1"/>
  <c r="DS710" i="1"/>
  <c r="DT710" i="1"/>
  <c r="DU710" i="1"/>
  <c r="DV710" i="1"/>
  <c r="DW710" i="1"/>
  <c r="DX710" i="1"/>
  <c r="DY710" i="1"/>
  <c r="DZ710" i="1"/>
  <c r="EA710" i="1"/>
  <c r="EB710" i="1"/>
  <c r="EC710" i="1"/>
  <c r="ED710" i="1"/>
  <c r="EE710" i="1"/>
  <c r="EF710" i="1"/>
  <c r="EG710" i="1"/>
  <c r="EH710" i="1"/>
  <c r="EI710" i="1"/>
  <c r="EJ710" i="1"/>
  <c r="EK710" i="1"/>
  <c r="EL710" i="1"/>
  <c r="EM710" i="1"/>
  <c r="EN710" i="1"/>
  <c r="EO710" i="1"/>
  <c r="EP710" i="1"/>
  <c r="EQ710" i="1"/>
  <c r="ER710" i="1"/>
  <c r="ES710" i="1"/>
  <c r="ET710" i="1"/>
  <c r="EU710" i="1"/>
  <c r="EV710" i="1"/>
  <c r="EW710" i="1"/>
  <c r="EX710" i="1"/>
  <c r="EY710" i="1"/>
  <c r="EZ710" i="1"/>
  <c r="FA710" i="1"/>
  <c r="FB710" i="1"/>
  <c r="FC710" i="1"/>
  <c r="FD710" i="1"/>
  <c r="FE710" i="1"/>
  <c r="FF710" i="1"/>
  <c r="FG710" i="1"/>
  <c r="FH710" i="1"/>
  <c r="FI710" i="1"/>
  <c r="FJ710" i="1"/>
  <c r="FK710" i="1"/>
  <c r="FL710" i="1"/>
  <c r="FM710" i="1"/>
  <c r="FN710" i="1"/>
  <c r="FO710" i="1"/>
  <c r="FP710" i="1"/>
  <c r="FQ710" i="1"/>
  <c r="FR710" i="1"/>
  <c r="FS710" i="1"/>
  <c r="FT710" i="1"/>
  <c r="FU710" i="1"/>
  <c r="FV710" i="1"/>
  <c r="FW710" i="1"/>
  <c r="FX710" i="1"/>
  <c r="FY710" i="1"/>
  <c r="FZ710" i="1"/>
  <c r="GA710" i="1"/>
  <c r="GB710" i="1"/>
  <c r="GC710" i="1"/>
  <c r="GD710" i="1"/>
  <c r="GE710" i="1"/>
  <c r="GF710" i="1"/>
  <c r="GG710" i="1"/>
  <c r="GH710" i="1"/>
  <c r="GI710" i="1"/>
  <c r="GJ710" i="1"/>
  <c r="GK710" i="1"/>
  <c r="GL710" i="1"/>
  <c r="GM710" i="1"/>
  <c r="GN710" i="1"/>
  <c r="GO710" i="1"/>
  <c r="GP710" i="1"/>
  <c r="GQ710" i="1"/>
  <c r="GR710" i="1"/>
  <c r="GS710" i="1"/>
  <c r="GT710" i="1"/>
  <c r="GU710" i="1"/>
  <c r="GV710" i="1"/>
  <c r="GW710" i="1"/>
  <c r="GX710" i="1"/>
  <c r="C712" i="1"/>
  <c r="D712" i="1"/>
  <c r="I712" i="1"/>
  <c r="AC712" i="1"/>
  <c r="AB712" i="1" s="1"/>
  <c r="AD712" i="1"/>
  <c r="AE712" i="1"/>
  <c r="AF712" i="1"/>
  <c r="AG712" i="1"/>
  <c r="CU712" i="1" s="1"/>
  <c r="T712" i="1" s="1"/>
  <c r="AH712" i="1"/>
  <c r="CV712" i="1" s="1"/>
  <c r="U712" i="1" s="1"/>
  <c r="AI712" i="1"/>
  <c r="AJ712" i="1"/>
  <c r="CR712" i="1"/>
  <c r="Q712" i="1" s="1"/>
  <c r="CS712" i="1"/>
  <c r="R712" i="1" s="1"/>
  <c r="CT712" i="1"/>
  <c r="S712" i="1" s="1"/>
  <c r="CW712" i="1"/>
  <c r="V712" i="1" s="1"/>
  <c r="CX712" i="1"/>
  <c r="W712" i="1" s="1"/>
  <c r="FR712" i="1"/>
  <c r="GL712" i="1"/>
  <c r="GN712" i="1"/>
  <c r="GO712" i="1"/>
  <c r="CC716" i="1" s="1"/>
  <c r="GV712" i="1"/>
  <c r="HC712" i="1"/>
  <c r="GX712" i="1" s="1"/>
  <c r="C713" i="1"/>
  <c r="D713" i="1"/>
  <c r="AC713" i="1"/>
  <c r="AB713" i="1" s="1"/>
  <c r="AD713" i="1"/>
  <c r="AE713" i="1"/>
  <c r="CS713" i="1" s="1"/>
  <c r="R713" i="1" s="1"/>
  <c r="GK713" i="1" s="1"/>
  <c r="AF713" i="1"/>
  <c r="AG713" i="1"/>
  <c r="AH713" i="1"/>
  <c r="CV713" i="1" s="1"/>
  <c r="U713" i="1" s="1"/>
  <c r="AI713" i="1"/>
  <c r="CW713" i="1" s="1"/>
  <c r="V713" i="1" s="1"/>
  <c r="AJ713" i="1"/>
  <c r="CQ713" i="1"/>
  <c r="P713" i="1" s="1"/>
  <c r="CR713" i="1"/>
  <c r="Q713" i="1" s="1"/>
  <c r="CT713" i="1"/>
  <c r="S713" i="1" s="1"/>
  <c r="CU713" i="1"/>
  <c r="T713" i="1" s="1"/>
  <c r="CX713" i="1"/>
  <c r="W713" i="1" s="1"/>
  <c r="FR713" i="1"/>
  <c r="GL713" i="1"/>
  <c r="GN713" i="1"/>
  <c r="GO713" i="1"/>
  <c r="GV713" i="1"/>
  <c r="HC713" i="1" s="1"/>
  <c r="GX713" i="1" s="1"/>
  <c r="C714" i="1"/>
  <c r="D714" i="1"/>
  <c r="AC714" i="1"/>
  <c r="AE714" i="1"/>
  <c r="AD714" i="1" s="1"/>
  <c r="AB714" i="1" s="1"/>
  <c r="AF714" i="1"/>
  <c r="CT714" i="1" s="1"/>
  <c r="S714" i="1" s="1"/>
  <c r="AG714" i="1"/>
  <c r="AH714" i="1"/>
  <c r="AI714" i="1"/>
  <c r="CW714" i="1" s="1"/>
  <c r="V714" i="1" s="1"/>
  <c r="AJ714" i="1"/>
  <c r="CX714" i="1" s="1"/>
  <c r="W714" i="1" s="1"/>
  <c r="CQ714" i="1"/>
  <c r="P714" i="1" s="1"/>
  <c r="CR714" i="1"/>
  <c r="Q714" i="1" s="1"/>
  <c r="CU714" i="1"/>
  <c r="T714" i="1" s="1"/>
  <c r="CV714" i="1"/>
  <c r="U714" i="1" s="1"/>
  <c r="FR714" i="1"/>
  <c r="BY716" i="1" s="1"/>
  <c r="GL714" i="1"/>
  <c r="GN714" i="1"/>
  <c r="CB716" i="1" s="1"/>
  <c r="GO714" i="1"/>
  <c r="GV714" i="1"/>
  <c r="HC714" i="1" s="1"/>
  <c r="GX714" i="1" s="1"/>
  <c r="B716" i="1"/>
  <c r="B710" i="1" s="1"/>
  <c r="C716" i="1"/>
  <c r="C710" i="1" s="1"/>
  <c r="D716" i="1"/>
  <c r="D710" i="1" s="1"/>
  <c r="F716" i="1"/>
  <c r="F710" i="1" s="1"/>
  <c r="G716" i="1"/>
  <c r="AG716" i="1"/>
  <c r="BX716" i="1"/>
  <c r="BX710" i="1" s="1"/>
  <c r="BZ716" i="1"/>
  <c r="BZ710" i="1" s="1"/>
  <c r="CK716" i="1"/>
  <c r="CK710" i="1" s="1"/>
  <c r="CL716" i="1"/>
  <c r="CL710" i="1" s="1"/>
  <c r="CM716" i="1"/>
  <c r="CM710" i="1" s="1"/>
  <c r="D746" i="1"/>
  <c r="D748" i="1"/>
  <c r="E748" i="1"/>
  <c r="Z748" i="1"/>
  <c r="AA748" i="1"/>
  <c r="AM748" i="1"/>
  <c r="AN748" i="1"/>
  <c r="BE748" i="1"/>
  <c r="BF748" i="1"/>
  <c r="BG748" i="1"/>
  <c r="BH748" i="1"/>
  <c r="BI748" i="1"/>
  <c r="BJ748" i="1"/>
  <c r="BK748" i="1"/>
  <c r="BL748" i="1"/>
  <c r="BM748" i="1"/>
  <c r="BN748" i="1"/>
  <c r="BO748" i="1"/>
  <c r="BP748" i="1"/>
  <c r="BQ748" i="1"/>
  <c r="BR748" i="1"/>
  <c r="BS748" i="1"/>
  <c r="BT748" i="1"/>
  <c r="BU748" i="1"/>
  <c r="BV748" i="1"/>
  <c r="BW748" i="1"/>
  <c r="CM748" i="1"/>
  <c r="CN748" i="1"/>
  <c r="CO748" i="1"/>
  <c r="CP748" i="1"/>
  <c r="CQ748" i="1"/>
  <c r="CR748" i="1"/>
  <c r="CS748" i="1"/>
  <c r="CT748" i="1"/>
  <c r="CU748" i="1"/>
  <c r="CV748" i="1"/>
  <c r="CW748" i="1"/>
  <c r="CX748" i="1"/>
  <c r="CY748" i="1"/>
  <c r="CZ748" i="1"/>
  <c r="DA748" i="1"/>
  <c r="DB748" i="1"/>
  <c r="DC748" i="1"/>
  <c r="DD748" i="1"/>
  <c r="DE748" i="1"/>
  <c r="DF748" i="1"/>
  <c r="DG748" i="1"/>
  <c r="DH748" i="1"/>
  <c r="DI748" i="1"/>
  <c r="DJ748" i="1"/>
  <c r="DK748" i="1"/>
  <c r="DL748" i="1"/>
  <c r="DM748" i="1"/>
  <c r="DN748" i="1"/>
  <c r="DO748" i="1"/>
  <c r="DP748" i="1"/>
  <c r="DQ748" i="1"/>
  <c r="DR748" i="1"/>
  <c r="DS748" i="1"/>
  <c r="DT748" i="1"/>
  <c r="DU748" i="1"/>
  <c r="DV748" i="1"/>
  <c r="DW748" i="1"/>
  <c r="DX748" i="1"/>
  <c r="DY748" i="1"/>
  <c r="DZ748" i="1"/>
  <c r="EA748" i="1"/>
  <c r="EB748" i="1"/>
  <c r="EC748" i="1"/>
  <c r="ED748" i="1"/>
  <c r="EE748" i="1"/>
  <c r="EF748" i="1"/>
  <c r="EG748" i="1"/>
  <c r="EH748" i="1"/>
  <c r="EI748" i="1"/>
  <c r="EJ748" i="1"/>
  <c r="EK748" i="1"/>
  <c r="EL748" i="1"/>
  <c r="EM748" i="1"/>
  <c r="EN748" i="1"/>
  <c r="EO748" i="1"/>
  <c r="EP748" i="1"/>
  <c r="EQ748" i="1"/>
  <c r="ER748" i="1"/>
  <c r="ES748" i="1"/>
  <c r="ET748" i="1"/>
  <c r="EU748" i="1"/>
  <c r="EV748" i="1"/>
  <c r="EW748" i="1"/>
  <c r="EX748" i="1"/>
  <c r="EY748" i="1"/>
  <c r="EZ748" i="1"/>
  <c r="FA748" i="1"/>
  <c r="FB748" i="1"/>
  <c r="FC748" i="1"/>
  <c r="FD748" i="1"/>
  <c r="FE748" i="1"/>
  <c r="FF748" i="1"/>
  <c r="FG748" i="1"/>
  <c r="FH748" i="1"/>
  <c r="FI748" i="1"/>
  <c r="FJ748" i="1"/>
  <c r="FK748" i="1"/>
  <c r="FL748" i="1"/>
  <c r="FM748" i="1"/>
  <c r="FN748" i="1"/>
  <c r="FO748" i="1"/>
  <c r="FP748" i="1"/>
  <c r="FQ748" i="1"/>
  <c r="FR748" i="1"/>
  <c r="FS748" i="1"/>
  <c r="FT748" i="1"/>
  <c r="FU748" i="1"/>
  <c r="FV748" i="1"/>
  <c r="FW748" i="1"/>
  <c r="FX748" i="1"/>
  <c r="FY748" i="1"/>
  <c r="FZ748" i="1"/>
  <c r="GA748" i="1"/>
  <c r="GB748" i="1"/>
  <c r="GC748" i="1"/>
  <c r="GD748" i="1"/>
  <c r="GE748" i="1"/>
  <c r="GF748" i="1"/>
  <c r="GG748" i="1"/>
  <c r="GH748" i="1"/>
  <c r="GI748" i="1"/>
  <c r="GJ748" i="1"/>
  <c r="GK748" i="1"/>
  <c r="GL748" i="1"/>
  <c r="GM748" i="1"/>
  <c r="GN748" i="1"/>
  <c r="GO748" i="1"/>
  <c r="GP748" i="1"/>
  <c r="GQ748" i="1"/>
  <c r="GR748" i="1"/>
  <c r="GS748" i="1"/>
  <c r="GT748" i="1"/>
  <c r="GU748" i="1"/>
  <c r="GV748" i="1"/>
  <c r="GW748" i="1"/>
  <c r="GX748" i="1"/>
  <c r="C750" i="1"/>
  <c r="D750" i="1"/>
  <c r="I750" i="1"/>
  <c r="Q750" i="1"/>
  <c r="T750" i="1"/>
  <c r="AC750" i="1"/>
  <c r="AD750" i="1"/>
  <c r="AB750" i="1" s="1"/>
  <c r="AE750" i="1"/>
  <c r="CS750" i="1" s="1"/>
  <c r="R750" i="1" s="1"/>
  <c r="GK750" i="1" s="1"/>
  <c r="AF750" i="1"/>
  <c r="CT750" i="1" s="1"/>
  <c r="S750" i="1" s="1"/>
  <c r="CZ750" i="1" s="1"/>
  <c r="Y750" i="1" s="1"/>
  <c r="AG750" i="1"/>
  <c r="AH750" i="1"/>
  <c r="AI750" i="1"/>
  <c r="CW750" i="1" s="1"/>
  <c r="V750" i="1" s="1"/>
  <c r="AJ750" i="1"/>
  <c r="CX750" i="1" s="1"/>
  <c r="W750" i="1" s="1"/>
  <c r="CQ750" i="1"/>
  <c r="P750" i="1" s="1"/>
  <c r="CR750" i="1"/>
  <c r="CU750" i="1"/>
  <c r="CV750" i="1"/>
  <c r="U750" i="1" s="1"/>
  <c r="AH755" i="1" s="1"/>
  <c r="CY750" i="1"/>
  <c r="X750" i="1" s="1"/>
  <c r="FR750" i="1"/>
  <c r="GL750" i="1"/>
  <c r="GN750" i="1"/>
  <c r="GO750" i="1"/>
  <c r="GV750" i="1"/>
  <c r="HC750" i="1" s="1"/>
  <c r="GX750" i="1" s="1"/>
  <c r="C751" i="1"/>
  <c r="D751" i="1"/>
  <c r="I751" i="1"/>
  <c r="P751" i="1"/>
  <c r="AC751" i="1"/>
  <c r="AE751" i="1"/>
  <c r="CS751" i="1" s="1"/>
  <c r="R751" i="1" s="1"/>
  <c r="GK751" i="1" s="1"/>
  <c r="AF751" i="1"/>
  <c r="CT751" i="1" s="1"/>
  <c r="S751" i="1" s="1"/>
  <c r="CY751" i="1" s="1"/>
  <c r="X751" i="1" s="1"/>
  <c r="AG751" i="1"/>
  <c r="AH751" i="1"/>
  <c r="CV751" i="1" s="1"/>
  <c r="U751" i="1" s="1"/>
  <c r="AI751" i="1"/>
  <c r="CW751" i="1" s="1"/>
  <c r="V751" i="1" s="1"/>
  <c r="AJ751" i="1"/>
  <c r="CX751" i="1" s="1"/>
  <c r="W751" i="1" s="1"/>
  <c r="CQ751" i="1"/>
  <c r="CU751" i="1"/>
  <c r="T751" i="1" s="1"/>
  <c r="CZ751" i="1"/>
  <c r="Y751" i="1" s="1"/>
  <c r="FR751" i="1"/>
  <c r="GL751" i="1"/>
  <c r="GN751" i="1"/>
  <c r="GO751" i="1"/>
  <c r="GV751" i="1"/>
  <c r="HC751" i="1" s="1"/>
  <c r="GX751" i="1" s="1"/>
  <c r="C752" i="1"/>
  <c r="D752" i="1"/>
  <c r="AC752" i="1"/>
  <c r="CQ752" i="1" s="1"/>
  <c r="P752" i="1" s="1"/>
  <c r="AE752" i="1"/>
  <c r="AD752" i="1" s="1"/>
  <c r="AB752" i="1" s="1"/>
  <c r="AF752" i="1"/>
  <c r="CT752" i="1" s="1"/>
  <c r="S752" i="1" s="1"/>
  <c r="CY752" i="1" s="1"/>
  <c r="X752" i="1" s="1"/>
  <c r="AG752" i="1"/>
  <c r="CU752" i="1" s="1"/>
  <c r="T752" i="1" s="1"/>
  <c r="AH752" i="1"/>
  <c r="AI752" i="1"/>
  <c r="CW752" i="1" s="1"/>
  <c r="V752" i="1" s="1"/>
  <c r="AJ752" i="1"/>
  <c r="CX752" i="1" s="1"/>
  <c r="W752" i="1" s="1"/>
  <c r="CV752" i="1"/>
  <c r="U752" i="1" s="1"/>
  <c r="FR752" i="1"/>
  <c r="BY755" i="1" s="1"/>
  <c r="GL752" i="1"/>
  <c r="GN752" i="1"/>
  <c r="GO752" i="1"/>
  <c r="GV752" i="1"/>
  <c r="HC752" i="1" s="1"/>
  <c r="GX752" i="1" s="1"/>
  <c r="CJ755" i="1" s="1"/>
  <c r="I753" i="1"/>
  <c r="W753" i="1"/>
  <c r="AC753" i="1"/>
  <c r="AB753" i="1" s="1"/>
  <c r="AD753" i="1"/>
  <c r="AE753" i="1"/>
  <c r="CS753" i="1" s="1"/>
  <c r="R753" i="1" s="1"/>
  <c r="GK753" i="1" s="1"/>
  <c r="AF753" i="1"/>
  <c r="AG753" i="1"/>
  <c r="AH753" i="1"/>
  <c r="CV753" i="1" s="1"/>
  <c r="U753" i="1" s="1"/>
  <c r="AI753" i="1"/>
  <c r="CW753" i="1" s="1"/>
  <c r="V753" i="1" s="1"/>
  <c r="AJ753" i="1"/>
  <c r="CR753" i="1"/>
  <c r="Q753" i="1" s="1"/>
  <c r="CT753" i="1"/>
  <c r="S753" i="1" s="1"/>
  <c r="CU753" i="1"/>
  <c r="T753" i="1" s="1"/>
  <c r="CX753" i="1"/>
  <c r="FR753" i="1"/>
  <c r="GL753" i="1"/>
  <c r="GN753" i="1"/>
  <c r="GO753" i="1"/>
  <c r="CC755" i="1" s="1"/>
  <c r="GV753" i="1"/>
  <c r="HC753" i="1"/>
  <c r="GX753" i="1" s="1"/>
  <c r="B755" i="1"/>
  <c r="B748" i="1" s="1"/>
  <c r="C755" i="1"/>
  <c r="C748" i="1" s="1"/>
  <c r="D755" i="1"/>
  <c r="F755" i="1"/>
  <c r="F748" i="1" s="1"/>
  <c r="G755" i="1"/>
  <c r="G748" i="1" s="1"/>
  <c r="AJ755" i="1"/>
  <c r="BX755" i="1"/>
  <c r="BX748" i="1" s="1"/>
  <c r="BZ755" i="1"/>
  <c r="BZ748" i="1" s="1"/>
  <c r="CB755" i="1"/>
  <c r="CB748" i="1" s="1"/>
  <c r="CG755" i="1"/>
  <c r="CG748" i="1" s="1"/>
  <c r="CK755" i="1"/>
  <c r="CK748" i="1" s="1"/>
  <c r="CL755" i="1"/>
  <c r="CL748" i="1" s="1"/>
  <c r="CM755" i="1"/>
  <c r="BD755" i="1" s="1"/>
  <c r="BD748" i="1" s="1"/>
  <c r="F780" i="1"/>
  <c r="B785" i="1"/>
  <c r="B706" i="1" s="1"/>
  <c r="C785" i="1"/>
  <c r="C706" i="1" s="1"/>
  <c r="D785" i="1"/>
  <c r="D706" i="1" s="1"/>
  <c r="F785" i="1"/>
  <c r="F706" i="1" s="1"/>
  <c r="G785" i="1"/>
  <c r="G706" i="1" s="1"/>
  <c r="D815" i="1"/>
  <c r="E817" i="1"/>
  <c r="Z817" i="1"/>
  <c r="AA817" i="1"/>
  <c r="AB817" i="1"/>
  <c r="AC817" i="1"/>
  <c r="AD817" i="1"/>
  <c r="AE817" i="1"/>
  <c r="AF817" i="1"/>
  <c r="AG817" i="1"/>
  <c r="AH817" i="1"/>
  <c r="AI817" i="1"/>
  <c r="AJ817" i="1"/>
  <c r="AK817" i="1"/>
  <c r="AL817" i="1"/>
  <c r="AM817" i="1"/>
  <c r="AN817" i="1"/>
  <c r="BE817" i="1"/>
  <c r="BF817" i="1"/>
  <c r="BG817" i="1"/>
  <c r="BH817" i="1"/>
  <c r="BI817" i="1"/>
  <c r="BJ817" i="1"/>
  <c r="BK817" i="1"/>
  <c r="BL817" i="1"/>
  <c r="BM817" i="1"/>
  <c r="BN817" i="1"/>
  <c r="BO817" i="1"/>
  <c r="BP817" i="1"/>
  <c r="BQ817" i="1"/>
  <c r="BR817" i="1"/>
  <c r="BS817" i="1"/>
  <c r="BT817" i="1"/>
  <c r="BU817" i="1"/>
  <c r="BV817" i="1"/>
  <c r="BW817" i="1"/>
  <c r="BX817" i="1"/>
  <c r="BY817" i="1"/>
  <c r="BZ817" i="1"/>
  <c r="CA817" i="1"/>
  <c r="CB817" i="1"/>
  <c r="CC817" i="1"/>
  <c r="CD817" i="1"/>
  <c r="CE817" i="1"/>
  <c r="CF817" i="1"/>
  <c r="CG817" i="1"/>
  <c r="CH817" i="1"/>
  <c r="CI817" i="1"/>
  <c r="CJ817" i="1"/>
  <c r="CK817" i="1"/>
  <c r="CL817" i="1"/>
  <c r="CM817" i="1"/>
  <c r="CN817" i="1"/>
  <c r="CO817" i="1"/>
  <c r="CP817" i="1"/>
  <c r="CQ817" i="1"/>
  <c r="CR817" i="1"/>
  <c r="CS817" i="1"/>
  <c r="CT817" i="1"/>
  <c r="CU817" i="1"/>
  <c r="CV817" i="1"/>
  <c r="CW817" i="1"/>
  <c r="CX817" i="1"/>
  <c r="CY817" i="1"/>
  <c r="CZ817" i="1"/>
  <c r="DA817" i="1"/>
  <c r="DB817" i="1"/>
  <c r="DC817" i="1"/>
  <c r="DD817" i="1"/>
  <c r="DE817" i="1"/>
  <c r="DF817" i="1"/>
  <c r="DG817" i="1"/>
  <c r="DH817" i="1"/>
  <c r="DI817" i="1"/>
  <c r="DJ817" i="1"/>
  <c r="DK817" i="1"/>
  <c r="DL817" i="1"/>
  <c r="DM817" i="1"/>
  <c r="DN817" i="1"/>
  <c r="DO817" i="1"/>
  <c r="DP817" i="1"/>
  <c r="DQ817" i="1"/>
  <c r="DR817" i="1"/>
  <c r="DS817" i="1"/>
  <c r="DT817" i="1"/>
  <c r="DU817" i="1"/>
  <c r="DV817" i="1"/>
  <c r="DW817" i="1"/>
  <c r="DX817" i="1"/>
  <c r="DY817" i="1"/>
  <c r="DZ817" i="1"/>
  <c r="EA817" i="1"/>
  <c r="EB817" i="1"/>
  <c r="EC817" i="1"/>
  <c r="ED817" i="1"/>
  <c r="EE817" i="1"/>
  <c r="EF817" i="1"/>
  <c r="EG817" i="1"/>
  <c r="EH817" i="1"/>
  <c r="EI817" i="1"/>
  <c r="EJ817" i="1"/>
  <c r="EK817" i="1"/>
  <c r="EL817" i="1"/>
  <c r="EM817" i="1"/>
  <c r="EN817" i="1"/>
  <c r="EO817" i="1"/>
  <c r="EP817" i="1"/>
  <c r="EQ817" i="1"/>
  <c r="ER817" i="1"/>
  <c r="ES817" i="1"/>
  <c r="ET817" i="1"/>
  <c r="EU817" i="1"/>
  <c r="EV817" i="1"/>
  <c r="EW817" i="1"/>
  <c r="EX817" i="1"/>
  <c r="EY817" i="1"/>
  <c r="EZ817" i="1"/>
  <c r="FA817" i="1"/>
  <c r="FB817" i="1"/>
  <c r="FC817" i="1"/>
  <c r="FD817" i="1"/>
  <c r="FE817" i="1"/>
  <c r="FF817" i="1"/>
  <c r="FG817" i="1"/>
  <c r="FH817" i="1"/>
  <c r="FI817" i="1"/>
  <c r="FJ817" i="1"/>
  <c r="FK817" i="1"/>
  <c r="FL817" i="1"/>
  <c r="FM817" i="1"/>
  <c r="FN817" i="1"/>
  <c r="FO817" i="1"/>
  <c r="FP817" i="1"/>
  <c r="FQ817" i="1"/>
  <c r="FR817" i="1"/>
  <c r="FS817" i="1"/>
  <c r="FT817" i="1"/>
  <c r="FU817" i="1"/>
  <c r="FV817" i="1"/>
  <c r="FW817" i="1"/>
  <c r="FX817" i="1"/>
  <c r="FY817" i="1"/>
  <c r="FZ817" i="1"/>
  <c r="GA817" i="1"/>
  <c r="GB817" i="1"/>
  <c r="GC817" i="1"/>
  <c r="GD817" i="1"/>
  <c r="GE817" i="1"/>
  <c r="GF817" i="1"/>
  <c r="GG817" i="1"/>
  <c r="GH817" i="1"/>
  <c r="GI817" i="1"/>
  <c r="GJ817" i="1"/>
  <c r="GK817" i="1"/>
  <c r="GL817" i="1"/>
  <c r="GM817" i="1"/>
  <c r="GN817" i="1"/>
  <c r="GO817" i="1"/>
  <c r="GP817" i="1"/>
  <c r="GQ817" i="1"/>
  <c r="GR817" i="1"/>
  <c r="GS817" i="1"/>
  <c r="GT817" i="1"/>
  <c r="GU817" i="1"/>
  <c r="GV817" i="1"/>
  <c r="GW817" i="1"/>
  <c r="GX817" i="1"/>
  <c r="D819" i="1"/>
  <c r="E821" i="1"/>
  <c r="Z821" i="1"/>
  <c r="AA821" i="1"/>
  <c r="AM821" i="1"/>
  <c r="AN821" i="1"/>
  <c r="BE821" i="1"/>
  <c r="BF821" i="1"/>
  <c r="BG821" i="1"/>
  <c r="BH821" i="1"/>
  <c r="BI821" i="1"/>
  <c r="BJ821" i="1"/>
  <c r="BK821" i="1"/>
  <c r="BL821" i="1"/>
  <c r="BM821" i="1"/>
  <c r="BN821" i="1"/>
  <c r="BO821" i="1"/>
  <c r="BP821" i="1"/>
  <c r="BQ821" i="1"/>
  <c r="BR821" i="1"/>
  <c r="BS821" i="1"/>
  <c r="BT821" i="1"/>
  <c r="BU821" i="1"/>
  <c r="BV821" i="1"/>
  <c r="BW821" i="1"/>
  <c r="CN821" i="1"/>
  <c r="CO821" i="1"/>
  <c r="CP821" i="1"/>
  <c r="CQ821" i="1"/>
  <c r="CR821" i="1"/>
  <c r="CS821" i="1"/>
  <c r="CT821" i="1"/>
  <c r="CU821" i="1"/>
  <c r="CV821" i="1"/>
  <c r="CW821" i="1"/>
  <c r="CX821" i="1"/>
  <c r="CY821" i="1"/>
  <c r="CZ821" i="1"/>
  <c r="DA821" i="1"/>
  <c r="DB821" i="1"/>
  <c r="DC821" i="1"/>
  <c r="DD821" i="1"/>
  <c r="DE821" i="1"/>
  <c r="DF821" i="1"/>
  <c r="DG821" i="1"/>
  <c r="DH821" i="1"/>
  <c r="DI821" i="1"/>
  <c r="DJ821" i="1"/>
  <c r="DK821" i="1"/>
  <c r="DL821" i="1"/>
  <c r="DM821" i="1"/>
  <c r="DN821" i="1"/>
  <c r="DO821" i="1"/>
  <c r="DP821" i="1"/>
  <c r="DQ821" i="1"/>
  <c r="DR821" i="1"/>
  <c r="DS821" i="1"/>
  <c r="DT821" i="1"/>
  <c r="DU821" i="1"/>
  <c r="DV821" i="1"/>
  <c r="DW821" i="1"/>
  <c r="DX821" i="1"/>
  <c r="DY821" i="1"/>
  <c r="DZ821" i="1"/>
  <c r="EA821" i="1"/>
  <c r="EB821" i="1"/>
  <c r="EC821" i="1"/>
  <c r="ED821" i="1"/>
  <c r="EE821" i="1"/>
  <c r="EF821" i="1"/>
  <c r="EG821" i="1"/>
  <c r="EH821" i="1"/>
  <c r="EI821" i="1"/>
  <c r="EJ821" i="1"/>
  <c r="EK821" i="1"/>
  <c r="EL821" i="1"/>
  <c r="EM821" i="1"/>
  <c r="EN821" i="1"/>
  <c r="EO821" i="1"/>
  <c r="EP821" i="1"/>
  <c r="EQ821" i="1"/>
  <c r="ER821" i="1"/>
  <c r="ES821" i="1"/>
  <c r="ET821" i="1"/>
  <c r="EU821" i="1"/>
  <c r="EV821" i="1"/>
  <c r="EW821" i="1"/>
  <c r="EX821" i="1"/>
  <c r="EY821" i="1"/>
  <c r="EZ821" i="1"/>
  <c r="FA821" i="1"/>
  <c r="FB821" i="1"/>
  <c r="FC821" i="1"/>
  <c r="FD821" i="1"/>
  <c r="FE821" i="1"/>
  <c r="FF821" i="1"/>
  <c r="FG821" i="1"/>
  <c r="FH821" i="1"/>
  <c r="FI821" i="1"/>
  <c r="FJ821" i="1"/>
  <c r="FK821" i="1"/>
  <c r="FL821" i="1"/>
  <c r="FM821" i="1"/>
  <c r="FN821" i="1"/>
  <c r="FO821" i="1"/>
  <c r="FP821" i="1"/>
  <c r="FQ821" i="1"/>
  <c r="FR821" i="1"/>
  <c r="FS821" i="1"/>
  <c r="FT821" i="1"/>
  <c r="FU821" i="1"/>
  <c r="FV821" i="1"/>
  <c r="FW821" i="1"/>
  <c r="FX821" i="1"/>
  <c r="FY821" i="1"/>
  <c r="FZ821" i="1"/>
  <c r="GA821" i="1"/>
  <c r="GB821" i="1"/>
  <c r="GC821" i="1"/>
  <c r="GD821" i="1"/>
  <c r="GE821" i="1"/>
  <c r="GF821" i="1"/>
  <c r="GG821" i="1"/>
  <c r="GH821" i="1"/>
  <c r="GI821" i="1"/>
  <c r="GJ821" i="1"/>
  <c r="GK821" i="1"/>
  <c r="GL821" i="1"/>
  <c r="GM821" i="1"/>
  <c r="GN821" i="1"/>
  <c r="GO821" i="1"/>
  <c r="GP821" i="1"/>
  <c r="GQ821" i="1"/>
  <c r="GR821" i="1"/>
  <c r="GS821" i="1"/>
  <c r="GT821" i="1"/>
  <c r="GU821" i="1"/>
  <c r="GV821" i="1"/>
  <c r="GW821" i="1"/>
  <c r="GX821" i="1"/>
  <c r="C823" i="1"/>
  <c r="D823" i="1"/>
  <c r="I823" i="1"/>
  <c r="CX371" i="3" s="1"/>
  <c r="AC823" i="1"/>
  <c r="AB823" i="1" s="1"/>
  <c r="AD823" i="1"/>
  <c r="AE823" i="1"/>
  <c r="AF823" i="1"/>
  <c r="AG823" i="1"/>
  <c r="CU823" i="1" s="1"/>
  <c r="T823" i="1" s="1"/>
  <c r="AH823" i="1"/>
  <c r="CV823" i="1" s="1"/>
  <c r="U823" i="1" s="1"/>
  <c r="AI823" i="1"/>
  <c r="AJ823" i="1"/>
  <c r="CR823" i="1"/>
  <c r="Q823" i="1" s="1"/>
  <c r="CS823" i="1"/>
  <c r="R823" i="1" s="1"/>
  <c r="CT823" i="1"/>
  <c r="S823" i="1" s="1"/>
  <c r="CW823" i="1"/>
  <c r="V823" i="1" s="1"/>
  <c r="AI828" i="1" s="1"/>
  <c r="CX823" i="1"/>
  <c r="W823" i="1" s="1"/>
  <c r="FR823" i="1"/>
  <c r="GL823" i="1"/>
  <c r="GN823" i="1"/>
  <c r="GO823" i="1"/>
  <c r="GV823" i="1"/>
  <c r="HC823" i="1"/>
  <c r="GX823" i="1" s="1"/>
  <c r="C824" i="1"/>
  <c r="D824" i="1"/>
  <c r="I824" i="1"/>
  <c r="AC824" i="1"/>
  <c r="AB824" i="1" s="1"/>
  <c r="AD824" i="1"/>
  <c r="AE824" i="1"/>
  <c r="AF824" i="1"/>
  <c r="AG824" i="1"/>
  <c r="CU824" i="1" s="1"/>
  <c r="T824" i="1" s="1"/>
  <c r="AH824" i="1"/>
  <c r="CV824" i="1" s="1"/>
  <c r="U824" i="1" s="1"/>
  <c r="AI824" i="1"/>
  <c r="AJ824" i="1"/>
  <c r="CR824" i="1"/>
  <c r="Q824" i="1" s="1"/>
  <c r="CS824" i="1"/>
  <c r="R824" i="1" s="1"/>
  <c r="GK824" i="1" s="1"/>
  <c r="CT824" i="1"/>
  <c r="S824" i="1" s="1"/>
  <c r="CW824" i="1"/>
  <c r="V824" i="1" s="1"/>
  <c r="CX824" i="1"/>
  <c r="W824" i="1" s="1"/>
  <c r="FR824" i="1"/>
  <c r="GL824" i="1"/>
  <c r="GN824" i="1"/>
  <c r="GO824" i="1"/>
  <c r="GV824" i="1"/>
  <c r="GX824" i="1"/>
  <c r="HC824" i="1"/>
  <c r="C825" i="1"/>
  <c r="D825" i="1"/>
  <c r="AC825" i="1"/>
  <c r="CQ825" i="1" s="1"/>
  <c r="P825" i="1" s="1"/>
  <c r="AD825" i="1"/>
  <c r="AE825" i="1"/>
  <c r="CS825" i="1" s="1"/>
  <c r="R825" i="1" s="1"/>
  <c r="GK825" i="1" s="1"/>
  <c r="AF825" i="1"/>
  <c r="AG825" i="1"/>
  <c r="CU825" i="1" s="1"/>
  <c r="T825" i="1" s="1"/>
  <c r="AH825" i="1"/>
  <c r="CV825" i="1" s="1"/>
  <c r="U825" i="1" s="1"/>
  <c r="AI825" i="1"/>
  <c r="CW825" i="1" s="1"/>
  <c r="V825" i="1" s="1"/>
  <c r="AJ825" i="1"/>
  <c r="CR825" i="1"/>
  <c r="Q825" i="1" s="1"/>
  <c r="CT825" i="1"/>
  <c r="S825" i="1" s="1"/>
  <c r="CX825" i="1"/>
  <c r="W825" i="1" s="1"/>
  <c r="FR825" i="1"/>
  <c r="GL825" i="1"/>
  <c r="GN825" i="1"/>
  <c r="GO825" i="1"/>
  <c r="CC828" i="1" s="1"/>
  <c r="GV825" i="1"/>
  <c r="HC825" i="1"/>
  <c r="GX825" i="1" s="1"/>
  <c r="I826" i="1"/>
  <c r="AC826" i="1"/>
  <c r="CQ826" i="1" s="1"/>
  <c r="P826" i="1" s="1"/>
  <c r="CP826" i="1" s="1"/>
  <c r="O826" i="1" s="1"/>
  <c r="AE826" i="1"/>
  <c r="AD826" i="1" s="1"/>
  <c r="AB826" i="1" s="1"/>
  <c r="AF826" i="1"/>
  <c r="CT826" i="1" s="1"/>
  <c r="S826" i="1" s="1"/>
  <c r="AG826" i="1"/>
  <c r="CU826" i="1" s="1"/>
  <c r="T826" i="1" s="1"/>
  <c r="AH826" i="1"/>
  <c r="AI826" i="1"/>
  <c r="AJ826" i="1"/>
  <c r="CX826" i="1" s="1"/>
  <c r="W826" i="1" s="1"/>
  <c r="CR826" i="1"/>
  <c r="Q826" i="1" s="1"/>
  <c r="CS826" i="1"/>
  <c r="R826" i="1" s="1"/>
  <c r="GK826" i="1" s="1"/>
  <c r="CV826" i="1"/>
  <c r="U826" i="1" s="1"/>
  <c r="CW826" i="1"/>
  <c r="V826" i="1" s="1"/>
  <c r="FR826" i="1"/>
  <c r="BY828" i="1" s="1"/>
  <c r="GL826" i="1"/>
  <c r="GN826" i="1"/>
  <c r="CB828" i="1" s="1"/>
  <c r="GO826" i="1"/>
  <c r="GV826" i="1"/>
  <c r="HC826" i="1" s="1"/>
  <c r="GX826" i="1" s="1"/>
  <c r="B828" i="1"/>
  <c r="B821" i="1" s="1"/>
  <c r="C828" i="1"/>
  <c r="C821" i="1" s="1"/>
  <c r="D828" i="1"/>
  <c r="D821" i="1" s="1"/>
  <c r="F828" i="1"/>
  <c r="F821" i="1" s="1"/>
  <c r="G828" i="1"/>
  <c r="G821" i="1" s="1"/>
  <c r="BX828" i="1"/>
  <c r="AO828" i="1" s="1"/>
  <c r="BZ828" i="1"/>
  <c r="AQ828" i="1" s="1"/>
  <c r="CK828" i="1"/>
  <c r="CK821" i="1" s="1"/>
  <c r="CL828" i="1"/>
  <c r="BC828" i="1" s="1"/>
  <c r="CM828" i="1"/>
  <c r="BD828" i="1" s="1"/>
  <c r="B858" i="1"/>
  <c r="B817" i="1" s="1"/>
  <c r="C858" i="1"/>
  <c r="C817" i="1" s="1"/>
  <c r="D858" i="1"/>
  <c r="D817" i="1" s="1"/>
  <c r="F858" i="1"/>
  <c r="F817" i="1" s="1"/>
  <c r="G858" i="1"/>
  <c r="G817" i="1" s="1"/>
  <c r="D888" i="1"/>
  <c r="E890" i="1"/>
  <c r="Z890" i="1"/>
  <c r="AA890" i="1"/>
  <c r="AM890" i="1"/>
  <c r="AN890" i="1"/>
  <c r="BE890" i="1"/>
  <c r="BF890" i="1"/>
  <c r="BG890" i="1"/>
  <c r="BH890" i="1"/>
  <c r="BI890" i="1"/>
  <c r="BJ890" i="1"/>
  <c r="BK890" i="1"/>
  <c r="BL890" i="1"/>
  <c r="BM890" i="1"/>
  <c r="BN890" i="1"/>
  <c r="BO890" i="1"/>
  <c r="BP890" i="1"/>
  <c r="BQ890" i="1"/>
  <c r="BR890" i="1"/>
  <c r="BS890" i="1"/>
  <c r="BT890" i="1"/>
  <c r="BU890" i="1"/>
  <c r="BV890" i="1"/>
  <c r="BW890" i="1"/>
  <c r="CN890" i="1"/>
  <c r="CO890" i="1"/>
  <c r="CP890" i="1"/>
  <c r="CQ890" i="1"/>
  <c r="CR890" i="1"/>
  <c r="CS890" i="1"/>
  <c r="CT890" i="1"/>
  <c r="CU890" i="1"/>
  <c r="CV890" i="1"/>
  <c r="CW890" i="1"/>
  <c r="CX890" i="1"/>
  <c r="CY890" i="1"/>
  <c r="CZ890" i="1"/>
  <c r="DA890" i="1"/>
  <c r="DB890" i="1"/>
  <c r="DC890" i="1"/>
  <c r="DD890" i="1"/>
  <c r="DE890" i="1"/>
  <c r="DF890" i="1"/>
  <c r="DG890" i="1"/>
  <c r="DH890" i="1"/>
  <c r="DI890" i="1"/>
  <c r="DJ890" i="1"/>
  <c r="DK890" i="1"/>
  <c r="DL890" i="1"/>
  <c r="DM890" i="1"/>
  <c r="DN890" i="1"/>
  <c r="DO890" i="1"/>
  <c r="DP890" i="1"/>
  <c r="DQ890" i="1"/>
  <c r="DR890" i="1"/>
  <c r="DS890" i="1"/>
  <c r="DT890" i="1"/>
  <c r="DU890" i="1"/>
  <c r="DV890" i="1"/>
  <c r="DW890" i="1"/>
  <c r="DX890" i="1"/>
  <c r="DY890" i="1"/>
  <c r="DZ890" i="1"/>
  <c r="EA890" i="1"/>
  <c r="EB890" i="1"/>
  <c r="EC890" i="1"/>
  <c r="ED890" i="1"/>
  <c r="EE890" i="1"/>
  <c r="EF890" i="1"/>
  <c r="EG890" i="1"/>
  <c r="EH890" i="1"/>
  <c r="EI890" i="1"/>
  <c r="EJ890" i="1"/>
  <c r="EK890" i="1"/>
  <c r="EL890" i="1"/>
  <c r="EM890" i="1"/>
  <c r="EN890" i="1"/>
  <c r="EO890" i="1"/>
  <c r="EP890" i="1"/>
  <c r="EQ890" i="1"/>
  <c r="ER890" i="1"/>
  <c r="ES890" i="1"/>
  <c r="ET890" i="1"/>
  <c r="EU890" i="1"/>
  <c r="EV890" i="1"/>
  <c r="EW890" i="1"/>
  <c r="EX890" i="1"/>
  <c r="EY890" i="1"/>
  <c r="EZ890" i="1"/>
  <c r="FA890" i="1"/>
  <c r="FB890" i="1"/>
  <c r="FC890" i="1"/>
  <c r="FD890" i="1"/>
  <c r="FE890" i="1"/>
  <c r="FF890" i="1"/>
  <c r="FG890" i="1"/>
  <c r="FH890" i="1"/>
  <c r="FI890" i="1"/>
  <c r="FJ890" i="1"/>
  <c r="FK890" i="1"/>
  <c r="FL890" i="1"/>
  <c r="FM890" i="1"/>
  <c r="FN890" i="1"/>
  <c r="FO890" i="1"/>
  <c r="FP890" i="1"/>
  <c r="FQ890" i="1"/>
  <c r="FR890" i="1"/>
  <c r="FS890" i="1"/>
  <c r="FT890" i="1"/>
  <c r="FU890" i="1"/>
  <c r="FV890" i="1"/>
  <c r="FW890" i="1"/>
  <c r="FX890" i="1"/>
  <c r="FY890" i="1"/>
  <c r="FZ890" i="1"/>
  <c r="GA890" i="1"/>
  <c r="GB890" i="1"/>
  <c r="GC890" i="1"/>
  <c r="GD890" i="1"/>
  <c r="GE890" i="1"/>
  <c r="GF890" i="1"/>
  <c r="GG890" i="1"/>
  <c r="GH890" i="1"/>
  <c r="GI890" i="1"/>
  <c r="GJ890" i="1"/>
  <c r="GK890" i="1"/>
  <c r="GL890" i="1"/>
  <c r="GM890" i="1"/>
  <c r="GN890" i="1"/>
  <c r="GO890" i="1"/>
  <c r="GP890" i="1"/>
  <c r="GQ890" i="1"/>
  <c r="GR890" i="1"/>
  <c r="GS890" i="1"/>
  <c r="GT890" i="1"/>
  <c r="GU890" i="1"/>
  <c r="GV890" i="1"/>
  <c r="GW890" i="1"/>
  <c r="GX890" i="1"/>
  <c r="C892" i="1"/>
  <c r="D892" i="1"/>
  <c r="AC892" i="1"/>
  <c r="AB892" i="1" s="1"/>
  <c r="AE892" i="1"/>
  <c r="AD892" i="1" s="1"/>
  <c r="AF892" i="1"/>
  <c r="AG892" i="1"/>
  <c r="CU892" i="1" s="1"/>
  <c r="T892" i="1" s="1"/>
  <c r="AG896" i="1" s="1"/>
  <c r="AH892" i="1"/>
  <c r="AI892" i="1"/>
  <c r="AJ892" i="1"/>
  <c r="CR892" i="1"/>
  <c r="Q892" i="1" s="1"/>
  <c r="CS892" i="1"/>
  <c r="R892" i="1" s="1"/>
  <c r="CT892" i="1"/>
  <c r="S892" i="1" s="1"/>
  <c r="CV892" i="1"/>
  <c r="U892" i="1" s="1"/>
  <c r="CW892" i="1"/>
  <c r="V892" i="1" s="1"/>
  <c r="CX892" i="1"/>
  <c r="W892" i="1" s="1"/>
  <c r="AJ896" i="1" s="1"/>
  <c r="FR892" i="1"/>
  <c r="GL892" i="1"/>
  <c r="GN892" i="1"/>
  <c r="GO892" i="1"/>
  <c r="GV892" i="1"/>
  <c r="HC892" i="1"/>
  <c r="GX892" i="1" s="1"/>
  <c r="C893" i="1"/>
  <c r="D893" i="1"/>
  <c r="AC893" i="1"/>
  <c r="AB893" i="1" s="1"/>
  <c r="AD893" i="1"/>
  <c r="AE893" i="1"/>
  <c r="AF893" i="1"/>
  <c r="AG893" i="1"/>
  <c r="AH893" i="1"/>
  <c r="CV893" i="1" s="1"/>
  <c r="U893" i="1" s="1"/>
  <c r="AI893" i="1"/>
  <c r="AJ893" i="1"/>
  <c r="CQ893" i="1"/>
  <c r="P893" i="1" s="1"/>
  <c r="CR893" i="1"/>
  <c r="Q893" i="1" s="1"/>
  <c r="CS893" i="1"/>
  <c r="R893" i="1" s="1"/>
  <c r="CT893" i="1"/>
  <c r="S893" i="1" s="1"/>
  <c r="CU893" i="1"/>
  <c r="T893" i="1" s="1"/>
  <c r="CW893" i="1"/>
  <c r="V893" i="1" s="1"/>
  <c r="CX893" i="1"/>
  <c r="W893" i="1" s="1"/>
  <c r="FR893" i="1"/>
  <c r="GL893" i="1"/>
  <c r="GN893" i="1"/>
  <c r="GO893" i="1"/>
  <c r="GV893" i="1"/>
  <c r="HC893" i="1" s="1"/>
  <c r="GX893" i="1" s="1"/>
  <c r="C894" i="1"/>
  <c r="D894" i="1"/>
  <c r="AC894" i="1"/>
  <c r="AE894" i="1"/>
  <c r="AD894" i="1" s="1"/>
  <c r="AB894" i="1" s="1"/>
  <c r="AF894" i="1"/>
  <c r="CT894" i="1" s="1"/>
  <c r="S894" i="1" s="1"/>
  <c r="AG894" i="1"/>
  <c r="AH894" i="1"/>
  <c r="AI894" i="1"/>
  <c r="AJ894" i="1"/>
  <c r="CX894" i="1" s="1"/>
  <c r="W894" i="1" s="1"/>
  <c r="CQ894" i="1"/>
  <c r="P894" i="1" s="1"/>
  <c r="CR894" i="1"/>
  <c r="Q894" i="1" s="1"/>
  <c r="CS894" i="1"/>
  <c r="R894" i="1" s="1"/>
  <c r="CU894" i="1"/>
  <c r="T894" i="1" s="1"/>
  <c r="CV894" i="1"/>
  <c r="U894" i="1" s="1"/>
  <c r="CW894" i="1"/>
  <c r="V894" i="1" s="1"/>
  <c r="FR894" i="1"/>
  <c r="BY896" i="1" s="1"/>
  <c r="GL894" i="1"/>
  <c r="GN894" i="1"/>
  <c r="GO894" i="1"/>
  <c r="CC896" i="1" s="1"/>
  <c r="GV894" i="1"/>
  <c r="HC894" i="1"/>
  <c r="GX894" i="1" s="1"/>
  <c r="B896" i="1"/>
  <c r="B890" i="1" s="1"/>
  <c r="C896" i="1"/>
  <c r="C890" i="1" s="1"/>
  <c r="D896" i="1"/>
  <c r="D890" i="1" s="1"/>
  <c r="F896" i="1"/>
  <c r="F890" i="1" s="1"/>
  <c r="G896" i="1"/>
  <c r="G890" i="1" s="1"/>
  <c r="BX896" i="1"/>
  <c r="BX890" i="1" s="1"/>
  <c r="BZ896" i="1"/>
  <c r="BZ890" i="1" s="1"/>
  <c r="CB896" i="1"/>
  <c r="CB890" i="1" s="1"/>
  <c r="CK896" i="1"/>
  <c r="CK890" i="1" s="1"/>
  <c r="CL896" i="1"/>
  <c r="CL890" i="1" s="1"/>
  <c r="CM896" i="1"/>
  <c r="BD896" i="1" s="1"/>
  <c r="B926" i="1"/>
  <c r="B22" i="1" s="1"/>
  <c r="C926" i="1"/>
  <c r="C22" i="1" s="1"/>
  <c r="D926" i="1"/>
  <c r="D22" i="1" s="1"/>
  <c r="F926" i="1"/>
  <c r="F22" i="1" s="1"/>
  <c r="G926" i="1"/>
  <c r="G22" i="1" s="1"/>
  <c r="B956" i="1"/>
  <c r="B18" i="1" s="1"/>
  <c r="C956" i="1"/>
  <c r="C18" i="1" s="1"/>
  <c r="D956" i="1"/>
  <c r="D18" i="1" s="1"/>
  <c r="F956" i="1"/>
  <c r="F18" i="1" s="1"/>
  <c r="G956" i="1"/>
  <c r="G18" i="1" l="1"/>
  <c r="A3" i="7"/>
  <c r="A833" i="5"/>
  <c r="E82" i="7"/>
  <c r="E278" i="7"/>
  <c r="E201" i="7"/>
  <c r="E170" i="7"/>
  <c r="E154" i="7"/>
  <c r="E18" i="7"/>
  <c r="E147" i="7"/>
  <c r="E138" i="7"/>
  <c r="E182" i="7"/>
  <c r="F93" i="7"/>
  <c r="E98" i="7" s="1"/>
  <c r="F28" i="7"/>
  <c r="F203" i="7"/>
  <c r="E233" i="7" s="1"/>
  <c r="F27" i="7"/>
  <c r="E40" i="7" s="1"/>
  <c r="E163" i="7"/>
  <c r="K577" i="5"/>
  <c r="P577" i="5"/>
  <c r="K765" i="5"/>
  <c r="P765" i="5"/>
  <c r="K194" i="5"/>
  <c r="P194" i="5"/>
  <c r="P793" i="5"/>
  <c r="K793" i="5"/>
  <c r="K425" i="5"/>
  <c r="P425" i="5"/>
  <c r="K62" i="5"/>
  <c r="P62" i="5"/>
  <c r="K490" i="5"/>
  <c r="P490" i="5"/>
  <c r="P286" i="5"/>
  <c r="K286" i="5"/>
  <c r="K662" i="5"/>
  <c r="P662" i="5"/>
  <c r="P463" i="5"/>
  <c r="K463" i="5"/>
  <c r="K244" i="5"/>
  <c r="P244" i="5"/>
  <c r="K518" i="5"/>
  <c r="P518" i="5"/>
  <c r="P156" i="5"/>
  <c r="K156" i="5"/>
  <c r="P46" i="5"/>
  <c r="K46" i="5"/>
  <c r="K634" i="5"/>
  <c r="P634" i="5"/>
  <c r="P53" i="5"/>
  <c r="K53" i="5"/>
  <c r="I465" i="5"/>
  <c r="P263" i="5"/>
  <c r="K263" i="5"/>
  <c r="K782" i="5"/>
  <c r="P782" i="5"/>
  <c r="K589" i="5"/>
  <c r="P589" i="5"/>
  <c r="I647" i="5" s="1"/>
  <c r="P336" i="5"/>
  <c r="K336" i="5"/>
  <c r="K599" i="5"/>
  <c r="P599" i="5"/>
  <c r="P325" i="5"/>
  <c r="K325" i="5"/>
  <c r="P233" i="5"/>
  <c r="K233" i="5"/>
  <c r="K754" i="5"/>
  <c r="P754" i="5"/>
  <c r="I767" i="5" s="1"/>
  <c r="K397" i="5"/>
  <c r="P397" i="5"/>
  <c r="K145" i="5"/>
  <c r="P145" i="5"/>
  <c r="K500" i="5"/>
  <c r="P500" i="5"/>
  <c r="I542" i="5" s="1"/>
  <c r="I561" i="5"/>
  <c r="I729" i="5"/>
  <c r="I770" i="5"/>
  <c r="P77" i="5"/>
  <c r="K77" i="5"/>
  <c r="P296" i="5"/>
  <c r="K296" i="5"/>
  <c r="P540" i="5"/>
  <c r="K540" i="5"/>
  <c r="K618" i="5"/>
  <c r="P618" i="5"/>
  <c r="P167" i="5"/>
  <c r="K167" i="5"/>
  <c r="P70" i="5"/>
  <c r="K70" i="5"/>
  <c r="P276" i="5"/>
  <c r="K276" i="5"/>
  <c r="P817" i="5"/>
  <c r="I827" i="5" s="1"/>
  <c r="K817" i="5"/>
  <c r="K684" i="5"/>
  <c r="P684" i="5"/>
  <c r="K314" i="5"/>
  <c r="P314" i="5"/>
  <c r="K116" i="5"/>
  <c r="P116" i="5"/>
  <c r="K96" i="5"/>
  <c r="P96" i="5"/>
  <c r="K124" i="5"/>
  <c r="P124" i="5"/>
  <c r="P84" i="5"/>
  <c r="K84" i="5"/>
  <c r="K106" i="5"/>
  <c r="P106" i="5"/>
  <c r="CY893" i="1"/>
  <c r="X893" i="1" s="1"/>
  <c r="CZ893" i="1"/>
  <c r="Y893" i="1" s="1"/>
  <c r="CC890" i="1"/>
  <c r="AT896" i="1"/>
  <c r="AI896" i="1"/>
  <c r="CP894" i="1"/>
  <c r="O894" i="1" s="1"/>
  <c r="CZ894" i="1"/>
  <c r="Y894" i="1" s="1"/>
  <c r="CY894" i="1"/>
  <c r="X894" i="1" s="1"/>
  <c r="CP893" i="1"/>
  <c r="O893" i="1" s="1"/>
  <c r="CY892" i="1"/>
  <c r="X892" i="1" s="1"/>
  <c r="AK896" i="1" s="1"/>
  <c r="AF896" i="1"/>
  <c r="CZ892" i="1"/>
  <c r="Y892" i="1" s="1"/>
  <c r="AQ821" i="1"/>
  <c r="F838" i="1"/>
  <c r="AQ858" i="1"/>
  <c r="CZ826" i="1"/>
  <c r="Y826" i="1" s="1"/>
  <c r="CY826" i="1"/>
  <c r="X826" i="1" s="1"/>
  <c r="CP825" i="1"/>
  <c r="O825" i="1" s="1"/>
  <c r="CY824" i="1"/>
  <c r="X824" i="1" s="1"/>
  <c r="CZ824" i="1"/>
  <c r="Y824" i="1" s="1"/>
  <c r="AJ828" i="1"/>
  <c r="AD828" i="1"/>
  <c r="AG828" i="1"/>
  <c r="CC748" i="1"/>
  <c r="AT755" i="1"/>
  <c r="BD890" i="1"/>
  <c r="F921" i="1"/>
  <c r="AJ890" i="1"/>
  <c r="W896" i="1"/>
  <c r="BD858" i="1"/>
  <c r="F853" i="1"/>
  <c r="BD821" i="1"/>
  <c r="AO821" i="1"/>
  <c r="F832" i="1"/>
  <c r="AO858" i="1"/>
  <c r="AS828" i="1"/>
  <c r="CB821" i="1"/>
  <c r="AI821" i="1"/>
  <c r="V828" i="1"/>
  <c r="CP750" i="1"/>
  <c r="O750" i="1" s="1"/>
  <c r="GK892" i="1"/>
  <c r="AE896" i="1"/>
  <c r="T896" i="1"/>
  <c r="AG890" i="1"/>
  <c r="F844" i="1"/>
  <c r="BC821" i="1"/>
  <c r="BC858" i="1"/>
  <c r="GM826" i="1"/>
  <c r="GP826" i="1"/>
  <c r="CC821" i="1"/>
  <c r="AT828" i="1"/>
  <c r="CJ828" i="1"/>
  <c r="CY823" i="1"/>
  <c r="X823" i="1" s="1"/>
  <c r="CZ823" i="1"/>
  <c r="Y823" i="1" s="1"/>
  <c r="AF828" i="1"/>
  <c r="CZ753" i="1"/>
  <c r="Y753" i="1" s="1"/>
  <c r="CY753" i="1"/>
  <c r="X753" i="1" s="1"/>
  <c r="AK755" i="1" s="1"/>
  <c r="AF755" i="1"/>
  <c r="CJ748" i="1"/>
  <c r="BA755" i="1"/>
  <c r="BY748" i="1"/>
  <c r="CI755" i="1"/>
  <c r="AP755" i="1"/>
  <c r="AI755" i="1"/>
  <c r="AH748" i="1"/>
  <c r="U755" i="1"/>
  <c r="CI896" i="1"/>
  <c r="BY890" i="1"/>
  <c r="AP896" i="1"/>
  <c r="AD896" i="1"/>
  <c r="CJ896" i="1"/>
  <c r="AH896" i="1"/>
  <c r="BY821" i="1"/>
  <c r="CI828" i="1"/>
  <c r="AP828" i="1"/>
  <c r="CY825" i="1"/>
  <c r="X825" i="1" s="1"/>
  <c r="CZ825" i="1"/>
  <c r="Y825" i="1" s="1"/>
  <c r="GK823" i="1"/>
  <c r="AE828" i="1"/>
  <c r="AH828" i="1"/>
  <c r="AG755" i="1"/>
  <c r="BC896" i="1"/>
  <c r="AQ896" i="1"/>
  <c r="CM890" i="1"/>
  <c r="CG828" i="1"/>
  <c r="BB828" i="1"/>
  <c r="AB825" i="1"/>
  <c r="BX821" i="1"/>
  <c r="CQ753" i="1"/>
  <c r="P753" i="1" s="1"/>
  <c r="CP753" i="1" s="1"/>
  <c r="O753" i="1" s="1"/>
  <c r="CZ752" i="1"/>
  <c r="Y752" i="1" s="1"/>
  <c r="AL755" i="1" s="1"/>
  <c r="CR752" i="1"/>
  <c r="Q752" i="1" s="1"/>
  <c r="AQ716" i="1"/>
  <c r="BY710" i="1"/>
  <c r="AP716" i="1"/>
  <c r="CI716" i="1"/>
  <c r="CP714" i="1"/>
  <c r="O714" i="1" s="1"/>
  <c r="CC710" i="1"/>
  <c r="AT716" i="1"/>
  <c r="AJ716" i="1"/>
  <c r="AD716" i="1"/>
  <c r="BD604" i="1"/>
  <c r="F635" i="1"/>
  <c r="BD640" i="1"/>
  <c r="CY608" i="1"/>
  <c r="X608" i="1" s="1"/>
  <c r="CZ608" i="1"/>
  <c r="Y608" i="1" s="1"/>
  <c r="CP607" i="1"/>
  <c r="O607" i="1" s="1"/>
  <c r="CJ604" i="1"/>
  <c r="BA610" i="1"/>
  <c r="AG610" i="1"/>
  <c r="CP606" i="1"/>
  <c r="O606" i="1" s="1"/>
  <c r="AC610" i="1"/>
  <c r="BC521" i="1"/>
  <c r="F554" i="1"/>
  <c r="AQ521" i="1"/>
  <c r="F548" i="1"/>
  <c r="AB534" i="1"/>
  <c r="CY533" i="1"/>
  <c r="X533" i="1" s="1"/>
  <c r="CZ533" i="1"/>
  <c r="Y533" i="1" s="1"/>
  <c r="AB532" i="1"/>
  <c r="AB530" i="1"/>
  <c r="CY526" i="1"/>
  <c r="X526" i="1" s="1"/>
  <c r="CZ526" i="1"/>
  <c r="Y526" i="1" s="1"/>
  <c r="CZ525" i="1"/>
  <c r="Y525" i="1" s="1"/>
  <c r="CY525" i="1"/>
  <c r="X525" i="1" s="1"/>
  <c r="AB524" i="1"/>
  <c r="AJ538" i="1"/>
  <c r="GK523" i="1"/>
  <c r="AB523" i="1"/>
  <c r="BC485" i="1"/>
  <c r="F505" i="1"/>
  <c r="BC568" i="1"/>
  <c r="AQ485" i="1"/>
  <c r="AQ568" i="1"/>
  <c r="F499" i="1"/>
  <c r="GK487" i="1"/>
  <c r="AE489" i="1"/>
  <c r="AC489" i="1"/>
  <c r="CP487" i="1"/>
  <c r="O487" i="1" s="1"/>
  <c r="CG896" i="1"/>
  <c r="BB896" i="1"/>
  <c r="CQ892" i="1"/>
  <c r="P892" i="1" s="1"/>
  <c r="CQ824" i="1"/>
  <c r="P824" i="1" s="1"/>
  <c r="CP824" i="1" s="1"/>
  <c r="O824" i="1" s="1"/>
  <c r="CQ823" i="1"/>
  <c r="P823" i="1" s="1"/>
  <c r="CM821" i="1"/>
  <c r="AO755" i="1"/>
  <c r="BC716" i="1"/>
  <c r="CY714" i="1"/>
  <c r="X714" i="1" s="1"/>
  <c r="CZ714" i="1"/>
  <c r="Y714" i="1" s="1"/>
  <c r="CY713" i="1"/>
  <c r="X713" i="1" s="1"/>
  <c r="CZ713" i="1"/>
  <c r="Y713" i="1" s="1"/>
  <c r="AI716" i="1"/>
  <c r="AZ610" i="1"/>
  <c r="CI604" i="1"/>
  <c r="BZ604" i="1"/>
  <c r="CG610" i="1"/>
  <c r="AQ610" i="1"/>
  <c r="CY607" i="1"/>
  <c r="X607" i="1" s="1"/>
  <c r="CZ607" i="1"/>
  <c r="Y607" i="1" s="1"/>
  <c r="CY606" i="1"/>
  <c r="X606" i="1" s="1"/>
  <c r="AK610" i="1" s="1"/>
  <c r="AF610" i="1"/>
  <c r="CZ606" i="1"/>
  <c r="Y606" i="1" s="1"/>
  <c r="F551" i="1"/>
  <c r="BB521" i="1"/>
  <c r="CB521" i="1"/>
  <c r="AS538" i="1"/>
  <c r="CP535" i="1"/>
  <c r="O535" i="1" s="1"/>
  <c r="CZ531" i="1"/>
  <c r="Y531" i="1" s="1"/>
  <c r="CY531" i="1"/>
  <c r="X531" i="1" s="1"/>
  <c r="CP529" i="1"/>
  <c r="O529" i="1" s="1"/>
  <c r="AI538" i="1"/>
  <c r="AD538" i="1"/>
  <c r="AG538" i="1"/>
  <c r="CI489" i="1"/>
  <c r="BY485" i="1"/>
  <c r="AP489" i="1"/>
  <c r="AD485" i="1"/>
  <c r="Q489" i="1"/>
  <c r="AG485" i="1"/>
  <c r="T489" i="1"/>
  <c r="AS896" i="1"/>
  <c r="AO896" i="1"/>
  <c r="CL821" i="1"/>
  <c r="BZ821" i="1"/>
  <c r="BC755" i="1"/>
  <c r="AX755" i="1"/>
  <c r="AS755" i="1"/>
  <c r="CP751" i="1"/>
  <c r="O751" i="1" s="1"/>
  <c r="AG710" i="1"/>
  <c r="T716" i="1"/>
  <c r="CB710" i="1"/>
  <c r="AS716" i="1"/>
  <c r="CJ716" i="1"/>
  <c r="CZ712" i="1"/>
  <c r="Y712" i="1" s="1"/>
  <c r="AL716" i="1" s="1"/>
  <c r="AF716" i="1"/>
  <c r="CY712" i="1"/>
  <c r="X712" i="1" s="1"/>
  <c r="AK716" i="1" s="1"/>
  <c r="AJ610" i="1"/>
  <c r="GK606" i="1"/>
  <c r="AE610" i="1"/>
  <c r="F545" i="1"/>
  <c r="AX521" i="1"/>
  <c r="CY535" i="1"/>
  <c r="X535" i="1" s="1"/>
  <c r="CZ535" i="1"/>
  <c r="Y535" i="1" s="1"/>
  <c r="CY529" i="1"/>
  <c r="X529" i="1" s="1"/>
  <c r="CZ529" i="1"/>
  <c r="Y529" i="1" s="1"/>
  <c r="CJ538" i="1"/>
  <c r="AH538" i="1"/>
  <c r="CC485" i="1"/>
  <c r="AT489" i="1"/>
  <c r="AI485" i="1"/>
  <c r="V489" i="1"/>
  <c r="AJ485" i="1"/>
  <c r="W489" i="1"/>
  <c r="CZ487" i="1"/>
  <c r="Y487" i="1" s="1"/>
  <c r="AL489" i="1" s="1"/>
  <c r="CY487" i="1"/>
  <c r="X487" i="1" s="1"/>
  <c r="AK489" i="1" s="1"/>
  <c r="AF489" i="1"/>
  <c r="CX374" i="3"/>
  <c r="CX378" i="3"/>
  <c r="CX373" i="3"/>
  <c r="CX377" i="3"/>
  <c r="CX381" i="3"/>
  <c r="CX372" i="3"/>
  <c r="CX376" i="3"/>
  <c r="CX380" i="3"/>
  <c r="CX375" i="3"/>
  <c r="CX379" i="3"/>
  <c r="BB755" i="1"/>
  <c r="AQ755" i="1"/>
  <c r="W755" i="1"/>
  <c r="AJ748" i="1"/>
  <c r="CS752" i="1"/>
  <c r="R752" i="1" s="1"/>
  <c r="CP752" i="1"/>
  <c r="O752" i="1" s="1"/>
  <c r="CR751" i="1"/>
  <c r="Q751" i="1" s="1"/>
  <c r="AD755" i="1" s="1"/>
  <c r="AD751" i="1"/>
  <c r="AB751" i="1" s="1"/>
  <c r="CP713" i="1"/>
  <c r="O713" i="1" s="1"/>
  <c r="GK712" i="1"/>
  <c r="AH716" i="1"/>
  <c r="CP608" i="1"/>
  <c r="O608" i="1" s="1"/>
  <c r="AI610" i="1"/>
  <c r="AD610" i="1"/>
  <c r="AH610" i="1"/>
  <c r="AT521" i="1"/>
  <c r="F556" i="1"/>
  <c r="AP538" i="1"/>
  <c r="BY521" i="1"/>
  <c r="CI538" i="1"/>
  <c r="CY534" i="1"/>
  <c r="X534" i="1" s="1"/>
  <c r="GM534" i="1" s="1"/>
  <c r="CZ534" i="1"/>
  <c r="Y534" i="1" s="1"/>
  <c r="GP534" i="1" s="1"/>
  <c r="CP533" i="1"/>
  <c r="O533" i="1" s="1"/>
  <c r="CZ532" i="1"/>
  <c r="Y532" i="1" s="1"/>
  <c r="CY532" i="1"/>
  <c r="X532" i="1" s="1"/>
  <c r="CZ530" i="1"/>
  <c r="Y530" i="1" s="1"/>
  <c r="CY530" i="1"/>
  <c r="X530" i="1" s="1"/>
  <c r="CY528" i="1"/>
  <c r="X528" i="1" s="1"/>
  <c r="GP528" i="1" s="1"/>
  <c r="CZ528" i="1"/>
  <c r="Y528" i="1" s="1"/>
  <c r="CY527" i="1"/>
  <c r="X527" i="1" s="1"/>
  <c r="GP527" i="1" s="1"/>
  <c r="CZ527" i="1"/>
  <c r="Y527" i="1" s="1"/>
  <c r="CY524" i="1"/>
  <c r="X524" i="1" s="1"/>
  <c r="GM524" i="1" s="1"/>
  <c r="CZ524" i="1"/>
  <c r="Y524" i="1" s="1"/>
  <c r="CZ523" i="1"/>
  <c r="Y523" i="1" s="1"/>
  <c r="AL538" i="1" s="1"/>
  <c r="AF538" i="1"/>
  <c r="CY523" i="1"/>
  <c r="X523" i="1" s="1"/>
  <c r="AH485" i="1"/>
  <c r="U489" i="1"/>
  <c r="BD716" i="1"/>
  <c r="CS714" i="1"/>
  <c r="R714" i="1" s="1"/>
  <c r="GK714" i="1" s="1"/>
  <c r="CQ712" i="1"/>
  <c r="P712" i="1" s="1"/>
  <c r="F697" i="1"/>
  <c r="BC610" i="1"/>
  <c r="CM604" i="1"/>
  <c r="AO538" i="1"/>
  <c r="CS534" i="1"/>
  <c r="R534" i="1" s="1"/>
  <c r="GK534" i="1" s="1"/>
  <c r="CQ532" i="1"/>
  <c r="P532" i="1" s="1"/>
  <c r="CP532" i="1" s="1"/>
  <c r="O532" i="1" s="1"/>
  <c r="CQ531" i="1"/>
  <c r="P531" i="1" s="1"/>
  <c r="CP531" i="1" s="1"/>
  <c r="O531" i="1" s="1"/>
  <c r="CQ530" i="1"/>
  <c r="P530" i="1" s="1"/>
  <c r="CP530" i="1" s="1"/>
  <c r="O530" i="1" s="1"/>
  <c r="CS526" i="1"/>
  <c r="R526" i="1" s="1"/>
  <c r="GK526" i="1" s="1"/>
  <c r="GP526" i="1" s="1"/>
  <c r="CQ525" i="1"/>
  <c r="P525" i="1" s="1"/>
  <c r="CP525" i="1" s="1"/>
  <c r="O525" i="1" s="1"/>
  <c r="CS524" i="1"/>
  <c r="R524" i="1" s="1"/>
  <c r="GK524" i="1" s="1"/>
  <c r="CQ523" i="1"/>
  <c r="P523" i="1" s="1"/>
  <c r="CL521" i="1"/>
  <c r="BZ521" i="1"/>
  <c r="CG489" i="1"/>
  <c r="BB489" i="1"/>
  <c r="CL485" i="1"/>
  <c r="BZ485" i="1"/>
  <c r="AO408" i="1"/>
  <c r="F423" i="1"/>
  <c r="AO449" i="1"/>
  <c r="CY416" i="1"/>
  <c r="X416" i="1" s="1"/>
  <c r="CZ416" i="1"/>
  <c r="Y416" i="1" s="1"/>
  <c r="CP411" i="1"/>
  <c r="O411" i="1" s="1"/>
  <c r="AI419" i="1"/>
  <c r="AD419" i="1"/>
  <c r="BZ335" i="1"/>
  <c r="AQ342" i="1"/>
  <c r="CG342" i="1"/>
  <c r="CP340" i="1"/>
  <c r="O340" i="1" s="1"/>
  <c r="CP339" i="1"/>
  <c r="O339" i="1" s="1"/>
  <c r="AH342" i="1"/>
  <c r="AC342" i="1"/>
  <c r="CP338" i="1"/>
  <c r="O338" i="1" s="1"/>
  <c r="AJ342" i="1"/>
  <c r="BB610" i="1"/>
  <c r="AT610" i="1"/>
  <c r="AP610" i="1"/>
  <c r="BD538" i="1"/>
  <c r="CK521" i="1"/>
  <c r="CG521" i="1"/>
  <c r="CC521" i="1"/>
  <c r="BA489" i="1"/>
  <c r="AS489" i="1"/>
  <c r="AO489" i="1"/>
  <c r="AS408" i="1"/>
  <c r="F436" i="1"/>
  <c r="AS449" i="1"/>
  <c r="CP417" i="1"/>
  <c r="O417" i="1" s="1"/>
  <c r="CY415" i="1"/>
  <c r="X415" i="1" s="1"/>
  <c r="CZ415" i="1"/>
  <c r="Y415" i="1" s="1"/>
  <c r="CP413" i="1"/>
  <c r="O413" i="1" s="1"/>
  <c r="CY411" i="1"/>
  <c r="X411" i="1" s="1"/>
  <c r="CZ411" i="1"/>
  <c r="Y411" i="1" s="1"/>
  <c r="AH419" i="1"/>
  <c r="CP410" i="1"/>
  <c r="O410" i="1" s="1"/>
  <c r="AC419" i="1"/>
  <c r="CZ340" i="1"/>
  <c r="Y340" i="1" s="1"/>
  <c r="CY340" i="1"/>
  <c r="X340" i="1" s="1"/>
  <c r="CY339" i="1"/>
  <c r="X339" i="1" s="1"/>
  <c r="CZ339" i="1"/>
  <c r="Y339" i="1" s="1"/>
  <c r="AG342" i="1"/>
  <c r="CG716" i="1"/>
  <c r="BB716" i="1"/>
  <c r="CX338" i="3"/>
  <c r="CX342" i="3"/>
  <c r="CX337" i="3"/>
  <c r="CX341" i="3"/>
  <c r="CX340" i="3"/>
  <c r="CX344" i="3"/>
  <c r="CX339" i="3"/>
  <c r="CX343" i="3"/>
  <c r="F691" i="1"/>
  <c r="F687" i="1"/>
  <c r="F683" i="1"/>
  <c r="AS610" i="1"/>
  <c r="AO610" i="1"/>
  <c r="BY604" i="1"/>
  <c r="CX294" i="3"/>
  <c r="CX298" i="3"/>
  <c r="CX302" i="3"/>
  <c r="CX293" i="3"/>
  <c r="CX297" i="3"/>
  <c r="CX301" i="3"/>
  <c r="CX305" i="3"/>
  <c r="CX292" i="3"/>
  <c r="CX296" i="3"/>
  <c r="CX300" i="3"/>
  <c r="CX304" i="3"/>
  <c r="CX295" i="3"/>
  <c r="CX299" i="3"/>
  <c r="CX303" i="3"/>
  <c r="CX290" i="3"/>
  <c r="CX289" i="3"/>
  <c r="CX291" i="3"/>
  <c r="BD489" i="1"/>
  <c r="GP416" i="1"/>
  <c r="GM416" i="1"/>
  <c r="CP414" i="1"/>
  <c r="O414" i="1" s="1"/>
  <c r="CY412" i="1"/>
  <c r="X412" i="1" s="1"/>
  <c r="CZ412" i="1"/>
  <c r="Y412" i="1" s="1"/>
  <c r="AG419" i="1"/>
  <c r="AJ419" i="1"/>
  <c r="AF419" i="1"/>
  <c r="CY410" i="1"/>
  <c r="X410" i="1" s="1"/>
  <c r="CZ410" i="1"/>
  <c r="Y410" i="1" s="1"/>
  <c r="CY338" i="1"/>
  <c r="X338" i="1" s="1"/>
  <c r="CZ338" i="1"/>
  <c r="Y338" i="1" s="1"/>
  <c r="CX362" i="3"/>
  <c r="CX361" i="3"/>
  <c r="CX364" i="3"/>
  <c r="CX363" i="3"/>
  <c r="CX354" i="3"/>
  <c r="CX358" i="3"/>
  <c r="CX357" i="3"/>
  <c r="CX356" i="3"/>
  <c r="CX360" i="3"/>
  <c r="CX355" i="3"/>
  <c r="CX359" i="3"/>
  <c r="AO716" i="1"/>
  <c r="F694" i="1"/>
  <c r="F678" i="1"/>
  <c r="CX334" i="3"/>
  <c r="CX333" i="3"/>
  <c r="CX336" i="3"/>
  <c r="CX335" i="3"/>
  <c r="CX326" i="3"/>
  <c r="CX330" i="3"/>
  <c r="CX329" i="3"/>
  <c r="CX328" i="3"/>
  <c r="CX332" i="3"/>
  <c r="CX327" i="3"/>
  <c r="CX331" i="3"/>
  <c r="CY417" i="1"/>
  <c r="X417" i="1" s="1"/>
  <c r="CZ417" i="1"/>
  <c r="Y417" i="1" s="1"/>
  <c r="CP415" i="1"/>
  <c r="O415" i="1" s="1"/>
  <c r="CY414" i="1"/>
  <c r="X414" i="1" s="1"/>
  <c r="CZ414" i="1"/>
  <c r="Y414" i="1" s="1"/>
  <c r="CY413" i="1"/>
  <c r="X413" i="1" s="1"/>
  <c r="CZ413" i="1"/>
  <c r="Y413" i="1" s="1"/>
  <c r="CP412" i="1"/>
  <c r="O412" i="1" s="1"/>
  <c r="CJ419" i="1"/>
  <c r="AE419" i="1"/>
  <c r="GK410" i="1"/>
  <c r="AD342" i="1"/>
  <c r="CJ342" i="1"/>
  <c r="AI342" i="1"/>
  <c r="GK337" i="1"/>
  <c r="AE342" i="1"/>
  <c r="BD419" i="1"/>
  <c r="AZ419" i="1"/>
  <c r="CX246" i="3"/>
  <c r="CX245" i="3"/>
  <c r="CX244" i="3"/>
  <c r="CX247" i="3"/>
  <c r="CX238" i="3"/>
  <c r="CX242" i="3"/>
  <c r="CX237" i="3"/>
  <c r="CX241" i="3"/>
  <c r="CX240" i="3"/>
  <c r="CX239" i="3"/>
  <c r="CX243" i="3"/>
  <c r="AB412" i="1"/>
  <c r="CB408" i="1"/>
  <c r="BX408" i="1"/>
  <c r="BB342" i="1"/>
  <c r="AT342" i="1"/>
  <c r="AP342" i="1"/>
  <c r="CY301" i="1"/>
  <c r="X301" i="1" s="1"/>
  <c r="CZ301" i="1"/>
  <c r="Y301" i="1" s="1"/>
  <c r="CP301" i="1"/>
  <c r="O301" i="1" s="1"/>
  <c r="CY300" i="1"/>
  <c r="X300" i="1" s="1"/>
  <c r="CZ300" i="1"/>
  <c r="Y300" i="1" s="1"/>
  <c r="CP300" i="1"/>
  <c r="O300" i="1" s="1"/>
  <c r="CZ298" i="1"/>
  <c r="Y298" i="1" s="1"/>
  <c r="CY298" i="1"/>
  <c r="X298" i="1" s="1"/>
  <c r="AB298" i="1"/>
  <c r="CY228" i="1"/>
  <c r="X228" i="1" s="1"/>
  <c r="CZ228" i="1"/>
  <c r="Y228" i="1" s="1"/>
  <c r="CY226" i="1"/>
  <c r="X226" i="1" s="1"/>
  <c r="CZ226" i="1"/>
  <c r="Y226" i="1" s="1"/>
  <c r="CY224" i="1"/>
  <c r="X224" i="1" s="1"/>
  <c r="CZ224" i="1"/>
  <c r="Y224" i="1" s="1"/>
  <c r="AI230" i="1"/>
  <c r="AC230" i="1"/>
  <c r="AJ230" i="1"/>
  <c r="CY222" i="1"/>
  <c r="X222" i="1" s="1"/>
  <c r="CZ222" i="1"/>
  <c r="Y222" i="1" s="1"/>
  <c r="BC419" i="1"/>
  <c r="AQ419" i="1"/>
  <c r="AD414" i="1"/>
  <c r="AB414" i="1" s="1"/>
  <c r="AB413" i="1"/>
  <c r="AS342" i="1"/>
  <c r="AO342" i="1"/>
  <c r="AD338" i="1"/>
  <c r="AB338" i="1" s="1"/>
  <c r="AD337" i="1"/>
  <c r="AB337" i="1" s="1"/>
  <c r="CX205" i="3"/>
  <c r="CX203" i="3"/>
  <c r="CX207" i="3"/>
  <c r="CX202" i="3"/>
  <c r="CX206" i="3"/>
  <c r="CX208" i="3"/>
  <c r="CX204" i="3"/>
  <c r="CJ303" i="1"/>
  <c r="AD303" i="1"/>
  <c r="AG303" i="1"/>
  <c r="AG230" i="1"/>
  <c r="BB419" i="1"/>
  <c r="AX419" i="1"/>
  <c r="AT419" i="1"/>
  <c r="AP419" i="1"/>
  <c r="CI342" i="1"/>
  <c r="BD342" i="1"/>
  <c r="S337" i="1"/>
  <c r="CC296" i="1"/>
  <c r="AT303" i="1"/>
  <c r="AJ303" i="1"/>
  <c r="CJ230" i="1"/>
  <c r="AH230" i="1"/>
  <c r="CX222" i="3"/>
  <c r="CX221" i="3"/>
  <c r="CX220" i="3"/>
  <c r="BC342" i="1"/>
  <c r="CX209" i="3"/>
  <c r="CX210" i="3"/>
  <c r="CX212" i="3"/>
  <c r="CX211" i="3"/>
  <c r="AH303" i="1"/>
  <c r="AI303" i="1"/>
  <c r="GK298" i="1"/>
  <c r="CP228" i="1"/>
  <c r="O228" i="1" s="1"/>
  <c r="CP226" i="1"/>
  <c r="O226" i="1" s="1"/>
  <c r="CP224" i="1"/>
  <c r="O224" i="1" s="1"/>
  <c r="AD230" i="1"/>
  <c r="CP222" i="1"/>
  <c r="O222" i="1" s="1"/>
  <c r="CI303" i="1"/>
  <c r="BD303" i="1"/>
  <c r="CS301" i="1"/>
  <c r="R301" i="1" s="1"/>
  <c r="GK301" i="1" s="1"/>
  <c r="AB301" i="1"/>
  <c r="CX201" i="3"/>
  <c r="CX199" i="3"/>
  <c r="CX198" i="3"/>
  <c r="CX200" i="3"/>
  <c r="CS300" i="1"/>
  <c r="R300" i="1" s="1"/>
  <c r="GK300" i="1" s="1"/>
  <c r="AB300" i="1"/>
  <c r="CQ298" i="1"/>
  <c r="P298" i="1" s="1"/>
  <c r="AD298" i="1"/>
  <c r="AS230" i="1"/>
  <c r="AO230" i="1"/>
  <c r="AB221" i="1"/>
  <c r="CY220" i="1"/>
  <c r="X220" i="1" s="1"/>
  <c r="CZ220" i="1"/>
  <c r="Y220" i="1" s="1"/>
  <c r="GP220" i="1" s="1"/>
  <c r="CY219" i="1"/>
  <c r="X219" i="1" s="1"/>
  <c r="CZ219" i="1"/>
  <c r="Y219" i="1" s="1"/>
  <c r="CY218" i="1"/>
  <c r="X218" i="1" s="1"/>
  <c r="CZ218" i="1"/>
  <c r="Y218" i="1" s="1"/>
  <c r="GP218" i="1" s="1"/>
  <c r="CP215" i="1"/>
  <c r="O215" i="1" s="1"/>
  <c r="CY213" i="1"/>
  <c r="X213" i="1" s="1"/>
  <c r="CZ213" i="1"/>
  <c r="Y213" i="1" s="1"/>
  <c r="CY212" i="1"/>
  <c r="X212" i="1" s="1"/>
  <c r="CZ212" i="1"/>
  <c r="Y212" i="1" s="1"/>
  <c r="CP210" i="1"/>
  <c r="O210" i="1" s="1"/>
  <c r="CY208" i="1"/>
  <c r="X208" i="1" s="1"/>
  <c r="CZ208" i="1"/>
  <c r="Y208" i="1" s="1"/>
  <c r="CP206" i="1"/>
  <c r="O206" i="1" s="1"/>
  <c r="CY205" i="1"/>
  <c r="X205" i="1" s="1"/>
  <c r="CZ205" i="1"/>
  <c r="Y205" i="1" s="1"/>
  <c r="CP202" i="1"/>
  <c r="O202" i="1" s="1"/>
  <c r="CP201" i="1"/>
  <c r="O201" i="1" s="1"/>
  <c r="BC303" i="1"/>
  <c r="AQ303" i="1"/>
  <c r="CI230" i="1"/>
  <c r="BD230" i="1"/>
  <c r="CY215" i="1"/>
  <c r="X215" i="1" s="1"/>
  <c r="CZ215" i="1"/>
  <c r="Y215" i="1" s="1"/>
  <c r="CP211" i="1"/>
  <c r="O211" i="1" s="1"/>
  <c r="CY209" i="1"/>
  <c r="X209" i="1" s="1"/>
  <c r="CZ209" i="1"/>
  <c r="Y209" i="1" s="1"/>
  <c r="GM207" i="1"/>
  <c r="CY206" i="1"/>
  <c r="X206" i="1" s="1"/>
  <c r="CZ206" i="1"/>
  <c r="Y206" i="1" s="1"/>
  <c r="CY199" i="1"/>
  <c r="X199" i="1" s="1"/>
  <c r="CZ199" i="1"/>
  <c r="Y199" i="1" s="1"/>
  <c r="CG303" i="1"/>
  <c r="BB303" i="1"/>
  <c r="AP303" i="1"/>
  <c r="CT299" i="1"/>
  <c r="S299" i="1" s="1"/>
  <c r="CP299" i="1" s="1"/>
  <c r="O299" i="1" s="1"/>
  <c r="CX181" i="3"/>
  <c r="CX185" i="3"/>
  <c r="CX184" i="3"/>
  <c r="CX183" i="3"/>
  <c r="CX187" i="3"/>
  <c r="CX182" i="3"/>
  <c r="CX186" i="3"/>
  <c r="CX188" i="3"/>
  <c r="BC230" i="1"/>
  <c r="AQ230" i="1"/>
  <c r="CT227" i="1"/>
  <c r="S227" i="1" s="1"/>
  <c r="CT225" i="1"/>
  <c r="S225" i="1" s="1"/>
  <c r="CT223" i="1"/>
  <c r="S223" i="1" s="1"/>
  <c r="CY221" i="1"/>
  <c r="X221" i="1" s="1"/>
  <c r="GP221" i="1" s="1"/>
  <c r="CZ221" i="1"/>
  <c r="Y221" i="1" s="1"/>
  <c r="CP217" i="1"/>
  <c r="O217" i="1" s="1"/>
  <c r="CY216" i="1"/>
  <c r="X216" i="1" s="1"/>
  <c r="GM216" i="1" s="1"/>
  <c r="CZ216" i="1"/>
  <c r="Y216" i="1" s="1"/>
  <c r="GP216" i="1" s="1"/>
  <c r="CP212" i="1"/>
  <c r="O212" i="1" s="1"/>
  <c r="CY210" i="1"/>
  <c r="X210" i="1" s="1"/>
  <c r="CZ210" i="1"/>
  <c r="Y210" i="1" s="1"/>
  <c r="CP208" i="1"/>
  <c r="O208" i="1" s="1"/>
  <c r="CY207" i="1"/>
  <c r="X207" i="1" s="1"/>
  <c r="GP207" i="1" s="1"/>
  <c r="CZ207" i="1"/>
  <c r="Y207" i="1" s="1"/>
  <c r="CP204" i="1"/>
  <c r="O204" i="1" s="1"/>
  <c r="CY202" i="1"/>
  <c r="X202" i="1" s="1"/>
  <c r="CZ202" i="1"/>
  <c r="Y202" i="1" s="1"/>
  <c r="CY201" i="1"/>
  <c r="X201" i="1" s="1"/>
  <c r="CZ201" i="1"/>
  <c r="Y201" i="1" s="1"/>
  <c r="CP200" i="1"/>
  <c r="O200" i="1" s="1"/>
  <c r="W165" i="1"/>
  <c r="AJ160" i="1"/>
  <c r="AS303" i="1"/>
  <c r="AO303" i="1"/>
  <c r="BB230" i="1"/>
  <c r="AX230" i="1"/>
  <c r="AT230" i="1"/>
  <c r="AP230" i="1"/>
  <c r="GP219" i="1"/>
  <c r="GM219" i="1"/>
  <c r="CY217" i="1"/>
  <c r="X217" i="1" s="1"/>
  <c r="CZ217" i="1"/>
  <c r="Y217" i="1" s="1"/>
  <c r="GP213" i="1"/>
  <c r="GM213" i="1"/>
  <c r="CY211" i="1"/>
  <c r="X211" i="1" s="1"/>
  <c r="CZ211" i="1"/>
  <c r="Y211" i="1" s="1"/>
  <c r="CP209" i="1"/>
  <c r="O209" i="1" s="1"/>
  <c r="GM205" i="1"/>
  <c r="CY204" i="1"/>
  <c r="X204" i="1" s="1"/>
  <c r="CZ204" i="1"/>
  <c r="Y204" i="1" s="1"/>
  <c r="CY203" i="1"/>
  <c r="X203" i="1" s="1"/>
  <c r="GP203" i="1" s="1"/>
  <c r="CZ203" i="1"/>
  <c r="Y203" i="1" s="1"/>
  <c r="GM203" i="1" s="1"/>
  <c r="CY200" i="1"/>
  <c r="X200" i="1" s="1"/>
  <c r="CZ200" i="1"/>
  <c r="Y200" i="1" s="1"/>
  <c r="CP199" i="1"/>
  <c r="O199" i="1" s="1"/>
  <c r="CT214" i="1"/>
  <c r="S214" i="1" s="1"/>
  <c r="CP214" i="1" s="1"/>
  <c r="O214" i="1" s="1"/>
  <c r="CS207" i="1"/>
  <c r="R207" i="1" s="1"/>
  <c r="GK207" i="1" s="1"/>
  <c r="CX149" i="3"/>
  <c r="CX153" i="3"/>
  <c r="CX148" i="3"/>
  <c r="CX152" i="3"/>
  <c r="CX147" i="3"/>
  <c r="CX151" i="3"/>
  <c r="CX155" i="3"/>
  <c r="CX146" i="3"/>
  <c r="CX150" i="3"/>
  <c r="CX154" i="3"/>
  <c r="CS206" i="1"/>
  <c r="R206" i="1" s="1"/>
  <c r="GK206" i="1" s="1"/>
  <c r="CX145" i="3"/>
  <c r="CX144" i="3"/>
  <c r="CX143" i="3"/>
  <c r="CX142" i="3"/>
  <c r="CS205" i="1"/>
  <c r="R205" i="1" s="1"/>
  <c r="GK205" i="1" s="1"/>
  <c r="GP205" i="1" s="1"/>
  <c r="CX137" i="3"/>
  <c r="CX141" i="3"/>
  <c r="CX136" i="3"/>
  <c r="CX140" i="3"/>
  <c r="CX135" i="3"/>
  <c r="CX139" i="3"/>
  <c r="CX138" i="3"/>
  <c r="CS204" i="1"/>
  <c r="R204" i="1" s="1"/>
  <c r="GK204" i="1" s="1"/>
  <c r="CS201" i="1"/>
  <c r="R201" i="1" s="1"/>
  <c r="BY160" i="1"/>
  <c r="CI165" i="1"/>
  <c r="BA165" i="1"/>
  <c r="AP165" i="1"/>
  <c r="CY162" i="1"/>
  <c r="X162" i="1" s="1"/>
  <c r="AK165" i="1" s="1"/>
  <c r="AF165" i="1"/>
  <c r="CZ162" i="1"/>
  <c r="Y162" i="1" s="1"/>
  <c r="AL165" i="1" s="1"/>
  <c r="CP162" i="1"/>
  <c r="O162" i="1" s="1"/>
  <c r="AC165" i="1"/>
  <c r="CZ91" i="1"/>
  <c r="Y91" i="1" s="1"/>
  <c r="CY91" i="1"/>
  <c r="X91" i="1" s="1"/>
  <c r="CZ89" i="1"/>
  <c r="Y89" i="1" s="1"/>
  <c r="CY89" i="1"/>
  <c r="X89" i="1" s="1"/>
  <c r="CY87" i="1"/>
  <c r="X87" i="1" s="1"/>
  <c r="CZ87" i="1"/>
  <c r="Y87" i="1" s="1"/>
  <c r="CZ86" i="1"/>
  <c r="Y86" i="1" s="1"/>
  <c r="CY86" i="1"/>
  <c r="X86" i="1" s="1"/>
  <c r="AG94" i="1"/>
  <c r="CY83" i="1"/>
  <c r="X83" i="1" s="1"/>
  <c r="CZ83" i="1"/>
  <c r="Y83" i="1" s="1"/>
  <c r="CY82" i="1"/>
  <c r="X82" i="1" s="1"/>
  <c r="CZ82" i="1"/>
  <c r="Y82" i="1" s="1"/>
  <c r="AJ94" i="1"/>
  <c r="AI94" i="1"/>
  <c r="AT165" i="1"/>
  <c r="AO165" i="1"/>
  <c r="Q165" i="1"/>
  <c r="AD160" i="1"/>
  <c r="AG160" i="1"/>
  <c r="T165" i="1"/>
  <c r="AB91" i="1"/>
  <c r="AB89" i="1"/>
  <c r="GK82" i="1"/>
  <c r="AE94" i="1"/>
  <c r="CY80" i="1"/>
  <c r="X80" i="1" s="1"/>
  <c r="CZ80" i="1"/>
  <c r="Y80" i="1" s="1"/>
  <c r="CG165" i="1"/>
  <c r="BC165" i="1"/>
  <c r="AS165" i="1"/>
  <c r="CZ92" i="1"/>
  <c r="Y92" i="1" s="1"/>
  <c r="CY92" i="1"/>
  <c r="X92" i="1" s="1"/>
  <c r="CZ90" i="1"/>
  <c r="Y90" i="1" s="1"/>
  <c r="CY90" i="1"/>
  <c r="X90" i="1" s="1"/>
  <c r="CP88" i="1"/>
  <c r="O88" i="1" s="1"/>
  <c r="CP87" i="1"/>
  <c r="O87" i="1" s="1"/>
  <c r="CY85" i="1"/>
  <c r="X85" i="1" s="1"/>
  <c r="CZ85" i="1"/>
  <c r="Y85" i="1" s="1"/>
  <c r="CP85" i="1"/>
  <c r="O85" i="1" s="1"/>
  <c r="CP84" i="1"/>
  <c r="O84" i="1" s="1"/>
  <c r="AD94" i="1"/>
  <c r="AH94" i="1"/>
  <c r="CY81" i="1"/>
  <c r="X81" i="1" s="1"/>
  <c r="CZ81" i="1"/>
  <c r="Y81" i="1" s="1"/>
  <c r="CX120" i="3"/>
  <c r="CX119" i="3"/>
  <c r="CX118" i="3"/>
  <c r="BB165" i="1"/>
  <c r="AQ165" i="1"/>
  <c r="U165" i="1"/>
  <c r="AH160" i="1"/>
  <c r="V165" i="1"/>
  <c r="AI160" i="1"/>
  <c r="AB92" i="1"/>
  <c r="AB90" i="1"/>
  <c r="CY88" i="1"/>
  <c r="X88" i="1" s="1"/>
  <c r="CZ88" i="1"/>
  <c r="Y88" i="1" s="1"/>
  <c r="CY84" i="1"/>
  <c r="X84" i="1" s="1"/>
  <c r="CZ84" i="1"/>
  <c r="Y84" i="1" s="1"/>
  <c r="CP83" i="1"/>
  <c r="O83" i="1" s="1"/>
  <c r="CP82" i="1"/>
  <c r="O82" i="1" s="1"/>
  <c r="CY79" i="1"/>
  <c r="X79" i="1" s="1"/>
  <c r="CZ79" i="1"/>
  <c r="Y79" i="1" s="1"/>
  <c r="CJ94" i="1"/>
  <c r="BD165" i="1"/>
  <c r="CS162" i="1"/>
  <c r="R162" i="1" s="1"/>
  <c r="AB162" i="1"/>
  <c r="CG94" i="1"/>
  <c r="BB94" i="1"/>
  <c r="AT94" i="1"/>
  <c r="AP94" i="1"/>
  <c r="CQ92" i="1"/>
  <c r="P92" i="1" s="1"/>
  <c r="CP92" i="1" s="1"/>
  <c r="O92" i="1" s="1"/>
  <c r="CQ91" i="1"/>
  <c r="P91" i="1" s="1"/>
  <c r="CP91" i="1" s="1"/>
  <c r="O91" i="1" s="1"/>
  <c r="CQ90" i="1"/>
  <c r="P90" i="1" s="1"/>
  <c r="CP90" i="1" s="1"/>
  <c r="O90" i="1" s="1"/>
  <c r="CQ89" i="1"/>
  <c r="P89" i="1" s="1"/>
  <c r="CP89" i="1" s="1"/>
  <c r="O89" i="1" s="1"/>
  <c r="CS87" i="1"/>
  <c r="R87" i="1" s="1"/>
  <c r="GK87" i="1" s="1"/>
  <c r="CQ86" i="1"/>
  <c r="P86" i="1" s="1"/>
  <c r="CP86" i="1" s="1"/>
  <c r="O86" i="1" s="1"/>
  <c r="CS85" i="1"/>
  <c r="R85" i="1" s="1"/>
  <c r="GK85" i="1" s="1"/>
  <c r="AB85" i="1"/>
  <c r="AB81" i="1"/>
  <c r="CQ81" i="1"/>
  <c r="P81" i="1" s="1"/>
  <c r="CP81" i="1" s="1"/>
  <c r="O81" i="1" s="1"/>
  <c r="CZ78" i="1"/>
  <c r="Y78" i="1" s="1"/>
  <c r="CY78" i="1"/>
  <c r="X78" i="1" s="1"/>
  <c r="AS94" i="1"/>
  <c r="AO94" i="1"/>
  <c r="CY76" i="1"/>
  <c r="X76" i="1" s="1"/>
  <c r="CZ76" i="1"/>
  <c r="Y76" i="1" s="1"/>
  <c r="BD94" i="1"/>
  <c r="AZ94" i="1"/>
  <c r="CX105" i="3"/>
  <c r="CX109" i="3"/>
  <c r="CX104" i="3"/>
  <c r="CX108" i="3"/>
  <c r="CX107" i="3"/>
  <c r="CX111" i="3"/>
  <c r="CX106" i="3"/>
  <c r="CX110" i="3"/>
  <c r="CX93" i="3"/>
  <c r="CX97" i="3"/>
  <c r="CX101" i="3"/>
  <c r="CX92" i="3"/>
  <c r="CX96" i="3"/>
  <c r="CX100" i="3"/>
  <c r="CX91" i="3"/>
  <c r="CX95" i="3"/>
  <c r="CX99" i="3"/>
  <c r="CX103" i="3"/>
  <c r="CX90" i="3"/>
  <c r="CX94" i="3"/>
  <c r="CX98" i="3"/>
  <c r="CX102" i="3"/>
  <c r="CX89" i="3"/>
  <c r="CX88" i="3"/>
  <c r="CX87" i="3"/>
  <c r="AB79" i="1"/>
  <c r="CQ79" i="1"/>
  <c r="P79" i="1" s="1"/>
  <c r="CP79" i="1" s="1"/>
  <c r="O79" i="1" s="1"/>
  <c r="CP77" i="1"/>
  <c r="O77" i="1" s="1"/>
  <c r="BC94" i="1"/>
  <c r="AQ94" i="1"/>
  <c r="CX61" i="3"/>
  <c r="CX60" i="3"/>
  <c r="CX64" i="3"/>
  <c r="CX63" i="3"/>
  <c r="CX62" i="3"/>
  <c r="AB80" i="1"/>
  <c r="CQ80" i="1"/>
  <c r="P80" i="1" s="1"/>
  <c r="CP80" i="1" s="1"/>
  <c r="O80" i="1" s="1"/>
  <c r="CP78" i="1"/>
  <c r="O78" i="1" s="1"/>
  <c r="CY77" i="1"/>
  <c r="X77" i="1" s="1"/>
  <c r="CZ77" i="1"/>
  <c r="Y77" i="1" s="1"/>
  <c r="AZ40" i="1"/>
  <c r="CI30" i="1"/>
  <c r="CY36" i="1"/>
  <c r="X36" i="1" s="1"/>
  <c r="CZ36" i="1"/>
  <c r="Y36" i="1" s="1"/>
  <c r="AB36" i="1"/>
  <c r="CJ40" i="1"/>
  <c r="AJ40" i="1"/>
  <c r="AE40" i="1"/>
  <c r="GK32" i="1"/>
  <c r="AB32" i="1"/>
  <c r="CQ76" i="1"/>
  <c r="P76" i="1" s="1"/>
  <c r="AD76" i="1"/>
  <c r="AB76" i="1" s="1"/>
  <c r="CT75" i="1"/>
  <c r="S75" i="1" s="1"/>
  <c r="CT74" i="1"/>
  <c r="S74" i="1" s="1"/>
  <c r="BD30" i="1"/>
  <c r="F65" i="1"/>
  <c r="CY37" i="1"/>
  <c r="X37" i="1" s="1"/>
  <c r="CZ37" i="1"/>
  <c r="Y37" i="1" s="1"/>
  <c r="AI40" i="1"/>
  <c r="AD40" i="1"/>
  <c r="AG40" i="1"/>
  <c r="CX21" i="3"/>
  <c r="CX23" i="3"/>
  <c r="CX22" i="3"/>
  <c r="CY38" i="1"/>
  <c r="X38" i="1" s="1"/>
  <c r="CZ38" i="1"/>
  <c r="Y38" i="1" s="1"/>
  <c r="AB38" i="1"/>
  <c r="AH40" i="1"/>
  <c r="CX49" i="3"/>
  <c r="CX53" i="3"/>
  <c r="CX57" i="3"/>
  <c r="CX52" i="3"/>
  <c r="CX56" i="3"/>
  <c r="CX51" i="3"/>
  <c r="CX55" i="3"/>
  <c r="CX50" i="3"/>
  <c r="CX54" i="3"/>
  <c r="CX58" i="3"/>
  <c r="CX45" i="3"/>
  <c r="CX48" i="3"/>
  <c r="CX47" i="3"/>
  <c r="CX46" i="3"/>
  <c r="CX41" i="3"/>
  <c r="CX40" i="3"/>
  <c r="CX44" i="3"/>
  <c r="CX39" i="3"/>
  <c r="CX43" i="3"/>
  <c r="CX38" i="3"/>
  <c r="CX42" i="3"/>
  <c r="CY34" i="1"/>
  <c r="X34" i="1" s="1"/>
  <c r="CZ34" i="1"/>
  <c r="Y34" i="1" s="1"/>
  <c r="CZ32" i="1"/>
  <c r="Y32" i="1" s="1"/>
  <c r="CY32" i="1"/>
  <c r="X32" i="1" s="1"/>
  <c r="BC40" i="1"/>
  <c r="AQ40" i="1"/>
  <c r="CQ32" i="1"/>
  <c r="P32" i="1" s="1"/>
  <c r="CM30" i="1"/>
  <c r="BB40" i="1"/>
  <c r="AX40" i="1"/>
  <c r="AT40" i="1"/>
  <c r="AP40" i="1"/>
  <c r="CQ38" i="1"/>
  <c r="P38" i="1" s="1"/>
  <c r="CP38" i="1" s="1"/>
  <c r="O38" i="1" s="1"/>
  <c r="AD38" i="1"/>
  <c r="CQ37" i="1"/>
  <c r="P37" i="1" s="1"/>
  <c r="CP37" i="1" s="1"/>
  <c r="O37" i="1" s="1"/>
  <c r="AD37" i="1"/>
  <c r="AB37" i="1" s="1"/>
  <c r="CQ36" i="1"/>
  <c r="P36" i="1" s="1"/>
  <c r="CP36" i="1" s="1"/>
  <c r="O36" i="1" s="1"/>
  <c r="AD36" i="1"/>
  <c r="CQ34" i="1"/>
  <c r="P34" i="1" s="1"/>
  <c r="CP34" i="1" s="1"/>
  <c r="O34" i="1" s="1"/>
  <c r="AD34" i="1"/>
  <c r="AB34" i="1" s="1"/>
  <c r="CT33" i="1"/>
  <c r="S33" i="1" s="1"/>
  <c r="AS40" i="1"/>
  <c r="AO40" i="1"/>
  <c r="CX1" i="3"/>
  <c r="CX5" i="3"/>
  <c r="CX4" i="3"/>
  <c r="CX8" i="3"/>
  <c r="CX3" i="3"/>
  <c r="CX7" i="3"/>
  <c r="CX2" i="3"/>
  <c r="CX6" i="3"/>
  <c r="BY30" i="1"/>
  <c r="CX19" i="3"/>
  <c r="CX18" i="3"/>
  <c r="CX17" i="3"/>
  <c r="CX16" i="3"/>
  <c r="CX15" i="3"/>
  <c r="CX14" i="3"/>
  <c r="I379" i="5" l="1"/>
  <c r="I266" i="5"/>
  <c r="I382" i="5"/>
  <c r="I833" i="5"/>
  <c r="I830" i="5"/>
  <c r="I249" i="5"/>
  <c r="I86" i="5"/>
  <c r="I809" i="5"/>
  <c r="I806" i="5"/>
  <c r="I689" i="5"/>
  <c r="I686" i="5"/>
  <c r="I644" i="5"/>
  <c r="I468" i="5"/>
  <c r="I427" i="5"/>
  <c r="I246" i="5"/>
  <c r="I545" i="5"/>
  <c r="AD748" i="1"/>
  <c r="Q755" i="1"/>
  <c r="AL748" i="1"/>
  <c r="Y755" i="1"/>
  <c r="AK748" i="1"/>
  <c r="X755" i="1"/>
  <c r="CZ33" i="1"/>
  <c r="Y33" i="1" s="1"/>
  <c r="CY33" i="1"/>
  <c r="X33" i="1" s="1"/>
  <c r="GP36" i="1"/>
  <c r="GM36" i="1"/>
  <c r="GP38" i="1"/>
  <c r="GM38" i="1"/>
  <c r="F53" i="1"/>
  <c r="BB30" i="1"/>
  <c r="BB124" i="1"/>
  <c r="BC30" i="1"/>
  <c r="F56" i="1"/>
  <c r="BC124" i="1"/>
  <c r="U40" i="1"/>
  <c r="AH30" i="1"/>
  <c r="Q40" i="1"/>
  <c r="AD30" i="1"/>
  <c r="CZ74" i="1"/>
  <c r="Y74" i="1" s="1"/>
  <c r="CY74" i="1"/>
  <c r="X74" i="1" s="1"/>
  <c r="AF94" i="1"/>
  <c r="CJ30" i="1"/>
  <c r="BA40" i="1"/>
  <c r="GM78" i="1"/>
  <c r="GP78" i="1"/>
  <c r="AQ72" i="1"/>
  <c r="F104" i="1"/>
  <c r="CP74" i="1"/>
  <c r="O74" i="1" s="1"/>
  <c r="GM90" i="1"/>
  <c r="GP90" i="1"/>
  <c r="AT72" i="1"/>
  <c r="F112" i="1"/>
  <c r="GK162" i="1"/>
  <c r="AE165" i="1"/>
  <c r="U160" i="1"/>
  <c r="F187" i="1"/>
  <c r="AH72" i="1"/>
  <c r="U94" i="1"/>
  <c r="AS160" i="1"/>
  <c r="F182" i="1"/>
  <c r="AS260" i="1"/>
  <c r="Q160" i="1"/>
  <c r="F177" i="1"/>
  <c r="AJ72" i="1"/>
  <c r="W94" i="1"/>
  <c r="Y165" i="1"/>
  <c r="AL160" i="1"/>
  <c r="BA160" i="1"/>
  <c r="F185" i="1"/>
  <c r="AP197" i="1"/>
  <c r="F239" i="1"/>
  <c r="AO296" i="1"/>
  <c r="F307" i="1"/>
  <c r="AO372" i="1"/>
  <c r="GP200" i="1"/>
  <c r="GM200" i="1"/>
  <c r="GP208" i="1"/>
  <c r="GM208" i="1"/>
  <c r="CY227" i="1"/>
  <c r="X227" i="1" s="1"/>
  <c r="CZ227" i="1"/>
  <c r="Y227" i="1" s="1"/>
  <c r="AP296" i="1"/>
  <c r="F312" i="1"/>
  <c r="AP372" i="1"/>
  <c r="BD197" i="1"/>
  <c r="F255" i="1"/>
  <c r="GP206" i="1"/>
  <c r="GM206" i="1"/>
  <c r="GP215" i="1"/>
  <c r="GM215" i="1"/>
  <c r="AO197" i="1"/>
  <c r="F234" i="1"/>
  <c r="BD296" i="1"/>
  <c r="F328" i="1"/>
  <c r="BD372" i="1"/>
  <c r="GP224" i="1"/>
  <c r="GM224" i="1"/>
  <c r="AE303" i="1"/>
  <c r="CJ197" i="1"/>
  <c r="BA230" i="1"/>
  <c r="BA260" i="1" s="1"/>
  <c r="AP449" i="1"/>
  <c r="AP408" i="1"/>
  <c r="F428" i="1"/>
  <c r="AG197" i="1"/>
  <c r="T230" i="1"/>
  <c r="AI197" i="1"/>
  <c r="V230" i="1"/>
  <c r="GP301" i="1"/>
  <c r="GM301" i="1"/>
  <c r="AT335" i="1"/>
  <c r="F360" i="1"/>
  <c r="F430" i="1"/>
  <c r="AZ449" i="1"/>
  <c r="AZ408" i="1"/>
  <c r="AI335" i="1"/>
  <c r="V342" i="1"/>
  <c r="GP415" i="1"/>
  <c r="GM415" i="1"/>
  <c r="AO710" i="1"/>
  <c r="AO785" i="1"/>
  <c r="F720" i="1"/>
  <c r="S419" i="1"/>
  <c r="AF408" i="1"/>
  <c r="BD485" i="1"/>
  <c r="F514" i="1"/>
  <c r="BD568" i="1"/>
  <c r="F627" i="1"/>
  <c r="AS640" i="1"/>
  <c r="AS604" i="1"/>
  <c r="BB710" i="1"/>
  <c r="F729" i="1"/>
  <c r="BB785" i="1"/>
  <c r="AC408" i="1"/>
  <c r="CF419" i="1"/>
  <c r="CH419" i="1"/>
  <c r="P419" i="1"/>
  <c r="CE419" i="1"/>
  <c r="GP417" i="1"/>
  <c r="GM417" i="1"/>
  <c r="AO485" i="1"/>
  <c r="F493" i="1"/>
  <c r="AO568" i="1"/>
  <c r="F628" i="1"/>
  <c r="AT640" i="1"/>
  <c r="AT604" i="1"/>
  <c r="GP338" i="1"/>
  <c r="GM338" i="1"/>
  <c r="GM340" i="1"/>
  <c r="GP340" i="1"/>
  <c r="Q419" i="1"/>
  <c r="AD408" i="1"/>
  <c r="GM525" i="1"/>
  <c r="GP525" i="1"/>
  <c r="GM532" i="1"/>
  <c r="GP532" i="1"/>
  <c r="BC640" i="1"/>
  <c r="BC604" i="1"/>
  <c r="F626" i="1"/>
  <c r="BD710" i="1"/>
  <c r="F741" i="1"/>
  <c r="BD785" i="1"/>
  <c r="AF521" i="1"/>
  <c r="S538" i="1"/>
  <c r="GP533" i="1"/>
  <c r="GM533" i="1"/>
  <c r="U610" i="1"/>
  <c r="AH604" i="1"/>
  <c r="U716" i="1"/>
  <c r="AH710" i="1"/>
  <c r="GK752" i="1"/>
  <c r="AE755" i="1"/>
  <c r="BB748" i="1"/>
  <c r="F768" i="1"/>
  <c r="AK485" i="1"/>
  <c r="X489" i="1"/>
  <c r="V485" i="1"/>
  <c r="F512" i="1"/>
  <c r="AH521" i="1"/>
  <c r="U538" i="1"/>
  <c r="GM527" i="1"/>
  <c r="AJ604" i="1"/>
  <c r="W610" i="1"/>
  <c r="CJ710" i="1"/>
  <c r="BA716" i="1"/>
  <c r="BC748" i="1"/>
  <c r="F771" i="1"/>
  <c r="F913" i="1"/>
  <c r="AS890" i="1"/>
  <c r="AG521" i="1"/>
  <c r="T538" i="1"/>
  <c r="GP524" i="1"/>
  <c r="AF604" i="1"/>
  <c r="S610" i="1"/>
  <c r="F620" i="1"/>
  <c r="AQ640" i="1"/>
  <c r="AQ604" i="1"/>
  <c r="AZ604" i="1"/>
  <c r="F621" i="1"/>
  <c r="AZ640" i="1"/>
  <c r="F909" i="1"/>
  <c r="BB890" i="1"/>
  <c r="AE485" i="1"/>
  <c r="R489" i="1"/>
  <c r="T610" i="1"/>
  <c r="AG604" i="1"/>
  <c r="GM753" i="1"/>
  <c r="GP753" i="1"/>
  <c r="CG821" i="1"/>
  <c r="AX828" i="1"/>
  <c r="AG748" i="1"/>
  <c r="T755" i="1"/>
  <c r="F905" i="1"/>
  <c r="AP890" i="1"/>
  <c r="U748" i="1"/>
  <c r="F777" i="1"/>
  <c r="AZ755" i="1"/>
  <c r="CI748" i="1"/>
  <c r="S755" i="1"/>
  <c r="AF748" i="1"/>
  <c r="AL828" i="1"/>
  <c r="R896" i="1"/>
  <c r="AE890" i="1"/>
  <c r="AS821" i="1"/>
  <c r="F845" i="1"/>
  <c r="AS858" i="1"/>
  <c r="AL896" i="1"/>
  <c r="F914" i="1"/>
  <c r="AT890" i="1"/>
  <c r="AK40" i="1"/>
  <c r="CZ75" i="1"/>
  <c r="Y75" i="1" s="1"/>
  <c r="CY75" i="1"/>
  <c r="X75" i="1" s="1"/>
  <c r="AZ30" i="1"/>
  <c r="F51" i="1"/>
  <c r="AZ124" i="1"/>
  <c r="BC72" i="1"/>
  <c r="F110" i="1"/>
  <c r="CP75" i="1"/>
  <c r="O75" i="1" s="1"/>
  <c r="AO72" i="1"/>
  <c r="F98" i="1"/>
  <c r="GM91" i="1"/>
  <c r="GP91" i="1"/>
  <c r="BB72" i="1"/>
  <c r="F107" i="1"/>
  <c r="BD160" i="1"/>
  <c r="F190" i="1"/>
  <c r="BD260" i="1"/>
  <c r="GP82" i="1"/>
  <c r="GM82" i="1"/>
  <c r="AQ160" i="1"/>
  <c r="F175" i="1"/>
  <c r="AQ260" i="1"/>
  <c r="AD72" i="1"/>
  <c r="Q94" i="1"/>
  <c r="BC160" i="1"/>
  <c r="F181" i="1"/>
  <c r="BC260" i="1"/>
  <c r="AE72" i="1"/>
  <c r="R94" i="1"/>
  <c r="T160" i="1"/>
  <c r="F186" i="1"/>
  <c r="T260" i="1"/>
  <c r="AO160" i="1"/>
  <c r="F169" i="1"/>
  <c r="AO260" i="1"/>
  <c r="AG72" i="1"/>
  <c r="T94" i="1"/>
  <c r="S165" i="1"/>
  <c r="AF160" i="1"/>
  <c r="CI160" i="1"/>
  <c r="AZ165" i="1"/>
  <c r="CY214" i="1"/>
  <c r="X214" i="1" s="1"/>
  <c r="GP214" i="1" s="1"/>
  <c r="CZ214" i="1"/>
  <c r="Y214" i="1" s="1"/>
  <c r="AF230" i="1"/>
  <c r="AT197" i="1"/>
  <c r="F248" i="1"/>
  <c r="AS296" i="1"/>
  <c r="F320" i="1"/>
  <c r="AS372" i="1"/>
  <c r="GP204" i="1"/>
  <c r="GM204" i="1"/>
  <c r="AQ197" i="1"/>
  <c r="F240" i="1"/>
  <c r="BB296" i="1"/>
  <c r="F316" i="1"/>
  <c r="BB372" i="1"/>
  <c r="GP211" i="1"/>
  <c r="GM211" i="1"/>
  <c r="CI197" i="1"/>
  <c r="AZ230" i="1"/>
  <c r="GP202" i="1"/>
  <c r="GM202" i="1"/>
  <c r="AS197" i="1"/>
  <c r="F247" i="1"/>
  <c r="CI296" i="1"/>
  <c r="AZ303" i="1"/>
  <c r="GP226" i="1"/>
  <c r="GM226" i="1"/>
  <c r="V303" i="1"/>
  <c r="AI296" i="1"/>
  <c r="AJ296" i="1"/>
  <c r="W303" i="1"/>
  <c r="CY337" i="1"/>
  <c r="X337" i="1" s="1"/>
  <c r="AK342" i="1" s="1"/>
  <c r="CZ337" i="1"/>
  <c r="Y337" i="1" s="1"/>
  <c r="AL342" i="1" s="1"/>
  <c r="AF342" i="1"/>
  <c r="F437" i="1"/>
  <c r="AT449" i="1"/>
  <c r="AT408" i="1"/>
  <c r="AG296" i="1"/>
  <c r="T303" i="1"/>
  <c r="AO335" i="1"/>
  <c r="F346" i="1"/>
  <c r="F429" i="1"/>
  <c r="AQ449" i="1"/>
  <c r="AQ408" i="1"/>
  <c r="AJ197" i="1"/>
  <c r="W230" i="1"/>
  <c r="GP300" i="1"/>
  <c r="GM300" i="1"/>
  <c r="BB335" i="1"/>
  <c r="F355" i="1"/>
  <c r="BD449" i="1"/>
  <c r="BD408" i="1"/>
  <c r="F444" i="1"/>
  <c r="CJ335" i="1"/>
  <c r="BA342" i="1"/>
  <c r="R419" i="1"/>
  <c r="AE408" i="1"/>
  <c r="W419" i="1"/>
  <c r="AJ408" i="1"/>
  <c r="GP414" i="1"/>
  <c r="GM414" i="1"/>
  <c r="CG710" i="1"/>
  <c r="AX716" i="1"/>
  <c r="AB419" i="1"/>
  <c r="GP410" i="1"/>
  <c r="GM410" i="1"/>
  <c r="GP413" i="1"/>
  <c r="GM413" i="1"/>
  <c r="AS404" i="1"/>
  <c r="F466" i="1"/>
  <c r="AS485" i="1"/>
  <c r="F506" i="1"/>
  <c r="AS568" i="1"/>
  <c r="F623" i="1"/>
  <c r="BB640" i="1"/>
  <c r="BB604" i="1"/>
  <c r="AC335" i="1"/>
  <c r="CH342" i="1"/>
  <c r="P342" i="1"/>
  <c r="CE342" i="1"/>
  <c r="CF342" i="1"/>
  <c r="CG335" i="1"/>
  <c r="AX342" i="1"/>
  <c r="V419" i="1"/>
  <c r="AI408" i="1"/>
  <c r="AO404" i="1"/>
  <c r="F453" i="1"/>
  <c r="U485" i="1"/>
  <c r="U568" i="1"/>
  <c r="F511" i="1"/>
  <c r="AL521" i="1"/>
  <c r="Y538" i="1"/>
  <c r="F547" i="1"/>
  <c r="AP521" i="1"/>
  <c r="Q610" i="1"/>
  <c r="AD604" i="1"/>
  <c r="AL485" i="1"/>
  <c r="Y489" i="1"/>
  <c r="CJ521" i="1"/>
  <c r="BA538" i="1"/>
  <c r="AK710" i="1"/>
  <c r="X716" i="1"/>
  <c r="AS710" i="1"/>
  <c r="F733" i="1"/>
  <c r="AS785" i="1"/>
  <c r="GP751" i="1"/>
  <c r="GM751" i="1"/>
  <c r="T485" i="1"/>
  <c r="T568" i="1"/>
  <c r="F510" i="1"/>
  <c r="AP485" i="1"/>
  <c r="F498" i="1"/>
  <c r="AP568" i="1"/>
  <c r="AD521" i="1"/>
  <c r="Q538" i="1"/>
  <c r="GP529" i="1"/>
  <c r="GM529" i="1"/>
  <c r="X610" i="1"/>
  <c r="AK604" i="1"/>
  <c r="CG604" i="1"/>
  <c r="AX610" i="1"/>
  <c r="V716" i="1"/>
  <c r="AI710" i="1"/>
  <c r="AC828" i="1"/>
  <c r="CP823" i="1"/>
  <c r="O823" i="1" s="1"/>
  <c r="CG890" i="1"/>
  <c r="AX896" i="1"/>
  <c r="BC481" i="1"/>
  <c r="F584" i="1"/>
  <c r="AE538" i="1"/>
  <c r="BA640" i="1"/>
  <c r="BA604" i="1"/>
  <c r="F630" i="1"/>
  <c r="Q716" i="1"/>
  <c r="AD710" i="1"/>
  <c r="GP714" i="1"/>
  <c r="GM714" i="1"/>
  <c r="F726" i="1"/>
  <c r="AQ710" i="1"/>
  <c r="AQ785" i="1"/>
  <c r="AH821" i="1"/>
  <c r="U828" i="1"/>
  <c r="U896" i="1"/>
  <c r="AH890" i="1"/>
  <c r="AK828" i="1"/>
  <c r="V821" i="1"/>
  <c r="V858" i="1"/>
  <c r="F851" i="1"/>
  <c r="AO817" i="1"/>
  <c r="F862" i="1"/>
  <c r="AG821" i="1"/>
  <c r="T828" i="1"/>
  <c r="F868" i="1"/>
  <c r="AQ817" i="1"/>
  <c r="AF890" i="1"/>
  <c r="S896" i="1"/>
  <c r="F49" i="1"/>
  <c r="AP30" i="1"/>
  <c r="AP124" i="1"/>
  <c r="V40" i="1"/>
  <c r="AI30" i="1"/>
  <c r="GP80" i="1"/>
  <c r="GM80" i="1"/>
  <c r="GP81" i="1"/>
  <c r="GM81" i="1"/>
  <c r="GP34" i="1"/>
  <c r="GM34" i="1"/>
  <c r="CP32" i="1"/>
  <c r="O32" i="1" s="1"/>
  <c r="AC40" i="1"/>
  <c r="AF40" i="1"/>
  <c r="CP33" i="1"/>
  <c r="O33" i="1" s="1"/>
  <c r="R40" i="1"/>
  <c r="AE30" i="1"/>
  <c r="GP77" i="1"/>
  <c r="GM77" i="1"/>
  <c r="AZ72" i="1"/>
  <c r="F105" i="1"/>
  <c r="AS72" i="1"/>
  <c r="F111" i="1"/>
  <c r="GM92" i="1"/>
  <c r="GP92" i="1"/>
  <c r="CG72" i="1"/>
  <c r="AX94" i="1"/>
  <c r="CJ72" i="1"/>
  <c r="BA94" i="1"/>
  <c r="GP83" i="1"/>
  <c r="GM83" i="1"/>
  <c r="V160" i="1"/>
  <c r="F188" i="1"/>
  <c r="V260" i="1"/>
  <c r="BB160" i="1"/>
  <c r="F178" i="1"/>
  <c r="BB260" i="1"/>
  <c r="GP84" i="1"/>
  <c r="GM84" i="1"/>
  <c r="GP87" i="1"/>
  <c r="GM87" i="1"/>
  <c r="CG160" i="1"/>
  <c r="AX165" i="1"/>
  <c r="AT160" i="1"/>
  <c r="F183" i="1"/>
  <c r="AT260" i="1"/>
  <c r="AC160" i="1"/>
  <c r="P165" i="1"/>
  <c r="CE165" i="1"/>
  <c r="CF165" i="1"/>
  <c r="CH165" i="1"/>
  <c r="AK160" i="1"/>
  <c r="X165" i="1"/>
  <c r="GP199" i="1"/>
  <c r="GM199" i="1"/>
  <c r="GM218" i="1"/>
  <c r="GM220" i="1"/>
  <c r="AX197" i="1"/>
  <c r="F237" i="1"/>
  <c r="CY223" i="1"/>
  <c r="X223" i="1" s="1"/>
  <c r="CZ223" i="1"/>
  <c r="Y223" i="1" s="1"/>
  <c r="BC197" i="1"/>
  <c r="F246" i="1"/>
  <c r="CG296" i="1"/>
  <c r="AX303" i="1"/>
  <c r="GM221" i="1"/>
  <c r="F313" i="1"/>
  <c r="AQ296" i="1"/>
  <c r="AQ372" i="1"/>
  <c r="GP222" i="1"/>
  <c r="GM222" i="1"/>
  <c r="GP228" i="1"/>
  <c r="GM228" i="1"/>
  <c r="U303" i="1"/>
  <c r="AH296" i="1"/>
  <c r="BD335" i="1"/>
  <c r="F367" i="1"/>
  <c r="AX449" i="1"/>
  <c r="AX408" i="1"/>
  <c r="F426" i="1"/>
  <c r="Q303" i="1"/>
  <c r="AD296" i="1"/>
  <c r="AS335" i="1"/>
  <c r="F359" i="1"/>
  <c r="BC449" i="1"/>
  <c r="BC408" i="1"/>
  <c r="F435" i="1"/>
  <c r="AC197" i="1"/>
  <c r="CH230" i="1"/>
  <c r="P230" i="1"/>
  <c r="CE230" i="1"/>
  <c r="CF230" i="1"/>
  <c r="CP227" i="1"/>
  <c r="O227" i="1" s="1"/>
  <c r="AE335" i="1"/>
  <c r="R342" i="1"/>
  <c r="BA419" i="1"/>
  <c r="CJ408" i="1"/>
  <c r="AL419" i="1"/>
  <c r="AG408" i="1"/>
  <c r="T419" i="1"/>
  <c r="CP337" i="1"/>
  <c r="O337" i="1" s="1"/>
  <c r="U419" i="1"/>
  <c r="AH408" i="1"/>
  <c r="BA485" i="1"/>
  <c r="F509" i="1"/>
  <c r="BA568" i="1"/>
  <c r="BD521" i="1"/>
  <c r="F563" i="1"/>
  <c r="AH335" i="1"/>
  <c r="U342" i="1"/>
  <c r="AQ335" i="1"/>
  <c r="F352" i="1"/>
  <c r="GP411" i="1"/>
  <c r="GM411" i="1"/>
  <c r="BB485" i="1"/>
  <c r="F502" i="1"/>
  <c r="BB568" i="1"/>
  <c r="AC538" i="1"/>
  <c r="CP523" i="1"/>
  <c r="O523" i="1" s="1"/>
  <c r="GM530" i="1"/>
  <c r="GP530" i="1"/>
  <c r="F542" i="1"/>
  <c r="AO521" i="1"/>
  <c r="CP712" i="1"/>
  <c r="O712" i="1" s="1"/>
  <c r="AC716" i="1"/>
  <c r="V610" i="1"/>
  <c r="AI604" i="1"/>
  <c r="AE716" i="1"/>
  <c r="F779" i="1"/>
  <c r="W748" i="1"/>
  <c r="W485" i="1"/>
  <c r="F513" i="1"/>
  <c r="AT485" i="1"/>
  <c r="F507" i="1"/>
  <c r="AT568" i="1"/>
  <c r="GM526" i="1"/>
  <c r="GM528" i="1"/>
  <c r="R610" i="1"/>
  <c r="AE604" i="1"/>
  <c r="AF710" i="1"/>
  <c r="S716" i="1"/>
  <c r="AS748" i="1"/>
  <c r="F772" i="1"/>
  <c r="AI521" i="1"/>
  <c r="V538" i="1"/>
  <c r="V568" i="1" s="1"/>
  <c r="GP535" i="1"/>
  <c r="GM535" i="1"/>
  <c r="BC710" i="1"/>
  <c r="F732" i="1"/>
  <c r="BC785" i="1"/>
  <c r="GP824" i="1"/>
  <c r="GM824" i="1"/>
  <c r="GM487" i="1"/>
  <c r="CA489" i="1" s="1"/>
  <c r="GP487" i="1"/>
  <c r="CD489" i="1" s="1"/>
  <c r="AB489" i="1"/>
  <c r="P610" i="1"/>
  <c r="CE610" i="1"/>
  <c r="AC604" i="1"/>
  <c r="CF610" i="1"/>
  <c r="CH610" i="1"/>
  <c r="BD600" i="1"/>
  <c r="F665" i="1"/>
  <c r="AJ710" i="1"/>
  <c r="W716" i="1"/>
  <c r="CI710" i="1"/>
  <c r="AZ716" i="1"/>
  <c r="F906" i="1"/>
  <c r="AQ890" i="1"/>
  <c r="AE821" i="1"/>
  <c r="R828" i="1"/>
  <c r="AP821" i="1"/>
  <c r="F837" i="1"/>
  <c r="AP858" i="1"/>
  <c r="CJ890" i="1"/>
  <c r="BA896" i="1"/>
  <c r="AZ896" i="1"/>
  <c r="CI890" i="1"/>
  <c r="V755" i="1"/>
  <c r="AI748" i="1"/>
  <c r="BA748" i="1"/>
  <c r="F775" i="1"/>
  <c r="BA828" i="1"/>
  <c r="CJ821" i="1"/>
  <c r="GP750" i="1"/>
  <c r="GM750" i="1"/>
  <c r="AB755" i="1"/>
  <c r="BD817" i="1"/>
  <c r="F883" i="1"/>
  <c r="AD821" i="1"/>
  <c r="Q828" i="1"/>
  <c r="GP825" i="1"/>
  <c r="GM825" i="1"/>
  <c r="X896" i="1"/>
  <c r="AK890" i="1"/>
  <c r="GP894" i="1"/>
  <c r="GM894" i="1"/>
  <c r="GM86" i="1"/>
  <c r="GP86" i="1"/>
  <c r="AO30" i="1"/>
  <c r="F44" i="1"/>
  <c r="AO124" i="1"/>
  <c r="GP37" i="1"/>
  <c r="GM37" i="1"/>
  <c r="F58" i="1"/>
  <c r="AT30" i="1"/>
  <c r="AT124" i="1"/>
  <c r="F57" i="1"/>
  <c r="AS30" i="1"/>
  <c r="AS124" i="1"/>
  <c r="AX30" i="1"/>
  <c r="F47" i="1"/>
  <c r="AX124" i="1"/>
  <c r="F50" i="1"/>
  <c r="AQ30" i="1"/>
  <c r="AQ124" i="1"/>
  <c r="AL40" i="1"/>
  <c r="T40" i="1"/>
  <c r="AG30" i="1"/>
  <c r="CP76" i="1"/>
  <c r="O76" i="1" s="1"/>
  <c r="AC94" i="1"/>
  <c r="AJ30" i="1"/>
  <c r="W40" i="1"/>
  <c r="GP79" i="1"/>
  <c r="GM79" i="1"/>
  <c r="BD72" i="1"/>
  <c r="BD124" i="1"/>
  <c r="F119" i="1"/>
  <c r="GM89" i="1"/>
  <c r="GP89" i="1"/>
  <c r="AP72" i="1"/>
  <c r="F103" i="1"/>
  <c r="GP85" i="1"/>
  <c r="GM85" i="1"/>
  <c r="GP88" i="1"/>
  <c r="GM88" i="1"/>
  <c r="AI72" i="1"/>
  <c r="V94" i="1"/>
  <c r="GP162" i="1"/>
  <c r="CD165" i="1" s="1"/>
  <c r="AB165" i="1"/>
  <c r="GM162" i="1"/>
  <c r="CA165" i="1" s="1"/>
  <c r="AP160" i="1"/>
  <c r="F174" i="1"/>
  <c r="AP260" i="1"/>
  <c r="GK201" i="1"/>
  <c r="GP201" i="1" s="1"/>
  <c r="AE230" i="1"/>
  <c r="GP209" i="1"/>
  <c r="GM209" i="1"/>
  <c r="BB197" i="1"/>
  <c r="F243" i="1"/>
  <c r="W160" i="1"/>
  <c r="F189" i="1"/>
  <c r="W260" i="1"/>
  <c r="GP212" i="1"/>
  <c r="GM212" i="1"/>
  <c r="GP217" i="1"/>
  <c r="GM217" i="1"/>
  <c r="CY225" i="1"/>
  <c r="X225" i="1" s="1"/>
  <c r="CZ225" i="1"/>
  <c r="Y225" i="1" s="1"/>
  <c r="CY299" i="1"/>
  <c r="X299" i="1" s="1"/>
  <c r="GP299" i="1" s="1"/>
  <c r="CZ299" i="1"/>
  <c r="Y299" i="1" s="1"/>
  <c r="AL303" i="1" s="1"/>
  <c r="AL230" i="1"/>
  <c r="F319" i="1"/>
  <c r="BC296" i="1"/>
  <c r="BC372" i="1"/>
  <c r="GP210" i="1"/>
  <c r="GM210" i="1"/>
  <c r="CP298" i="1"/>
  <c r="O298" i="1" s="1"/>
  <c r="AC303" i="1"/>
  <c r="AD197" i="1"/>
  <c r="Q230" i="1"/>
  <c r="BC335" i="1"/>
  <c r="F358" i="1"/>
  <c r="AH197" i="1"/>
  <c r="U230" i="1"/>
  <c r="F321" i="1"/>
  <c r="AT296" i="1"/>
  <c r="AT372" i="1"/>
  <c r="CI335" i="1"/>
  <c r="AZ342" i="1"/>
  <c r="BB449" i="1"/>
  <c r="BB408" i="1"/>
  <c r="F432" i="1"/>
  <c r="CJ296" i="1"/>
  <c r="BA303" i="1"/>
  <c r="CP223" i="1"/>
  <c r="O223" i="1" s="1"/>
  <c r="CP225" i="1"/>
  <c r="O225" i="1" s="1"/>
  <c r="AF303" i="1"/>
  <c r="AP335" i="1"/>
  <c r="F351" i="1"/>
  <c r="AD335" i="1"/>
  <c r="Q342" i="1"/>
  <c r="GP412" i="1"/>
  <c r="GM412" i="1"/>
  <c r="AK419" i="1"/>
  <c r="AO640" i="1"/>
  <c r="AO604" i="1"/>
  <c r="F614" i="1"/>
  <c r="AG335" i="1"/>
  <c r="T342" i="1"/>
  <c r="F619" i="1"/>
  <c r="AP640" i="1"/>
  <c r="AP604" i="1"/>
  <c r="AJ335" i="1"/>
  <c r="W342" i="1"/>
  <c r="GP339" i="1"/>
  <c r="GM339" i="1"/>
  <c r="CG485" i="1"/>
  <c r="AX489" i="1"/>
  <c r="GM531" i="1"/>
  <c r="GP531" i="1"/>
  <c r="AK538" i="1"/>
  <c r="CI521" i="1"/>
  <c r="AZ538" i="1"/>
  <c r="GP608" i="1"/>
  <c r="GM608" i="1"/>
  <c r="GP713" i="1"/>
  <c r="GM713" i="1"/>
  <c r="GP752" i="1"/>
  <c r="GM752" i="1"/>
  <c r="AQ748" i="1"/>
  <c r="F765" i="1"/>
  <c r="AF485" i="1"/>
  <c r="S489" i="1"/>
  <c r="Y716" i="1"/>
  <c r="AL710" i="1"/>
  <c r="T710" i="1"/>
  <c r="F737" i="1"/>
  <c r="T785" i="1"/>
  <c r="AX748" i="1"/>
  <c r="F762" i="1"/>
  <c r="AO890" i="1"/>
  <c r="F900" i="1"/>
  <c r="Q485" i="1"/>
  <c r="F501" i="1"/>
  <c r="Q568" i="1"/>
  <c r="CI485" i="1"/>
  <c r="AZ489" i="1"/>
  <c r="AS521" i="1"/>
  <c r="F555" i="1"/>
  <c r="AL610" i="1"/>
  <c r="AO748" i="1"/>
  <c r="F759" i="1"/>
  <c r="CP892" i="1"/>
  <c r="O892" i="1" s="1"/>
  <c r="AC896" i="1"/>
  <c r="AC485" i="1"/>
  <c r="CH489" i="1"/>
  <c r="P489" i="1"/>
  <c r="CE489" i="1"/>
  <c r="CF489" i="1"/>
  <c r="AQ481" i="1"/>
  <c r="F578" i="1"/>
  <c r="AJ521" i="1"/>
  <c r="W538" i="1"/>
  <c r="W568" i="1" s="1"/>
  <c r="GP606" i="1"/>
  <c r="AB610" i="1"/>
  <c r="GM606" i="1"/>
  <c r="GP607" i="1"/>
  <c r="GM607" i="1"/>
  <c r="F734" i="1"/>
  <c r="AT710" i="1"/>
  <c r="AT785" i="1"/>
  <c r="AP710" i="1"/>
  <c r="F725" i="1"/>
  <c r="AP785" i="1"/>
  <c r="BB821" i="1"/>
  <c r="F841" i="1"/>
  <c r="BB858" i="1"/>
  <c r="BC890" i="1"/>
  <c r="F912" i="1"/>
  <c r="AZ828" i="1"/>
  <c r="CI821" i="1"/>
  <c r="Q896" i="1"/>
  <c r="AD890" i="1"/>
  <c r="AP748" i="1"/>
  <c r="F764" i="1"/>
  <c r="S828" i="1"/>
  <c r="AF821" i="1"/>
  <c r="AT821" i="1"/>
  <c r="F846" i="1"/>
  <c r="AT858" i="1"/>
  <c r="BC817" i="1"/>
  <c r="F874" i="1"/>
  <c r="T890" i="1"/>
  <c r="F917" i="1"/>
  <c r="AC755" i="1"/>
  <c r="W890" i="1"/>
  <c r="F920" i="1"/>
  <c r="AT748" i="1"/>
  <c r="F773" i="1"/>
  <c r="W828" i="1"/>
  <c r="AJ821" i="1"/>
  <c r="GP893" i="1"/>
  <c r="GM893" i="1"/>
  <c r="V896" i="1"/>
  <c r="AI890" i="1"/>
  <c r="Y303" i="1" l="1"/>
  <c r="AL296" i="1"/>
  <c r="BA156" i="1"/>
  <c r="F280" i="1"/>
  <c r="W481" i="1"/>
  <c r="F592" i="1"/>
  <c r="V481" i="1"/>
  <c r="F591" i="1"/>
  <c r="AB604" i="1"/>
  <c r="O610" i="1"/>
  <c r="P485" i="1"/>
  <c r="F492" i="1"/>
  <c r="F876" i="1"/>
  <c r="AT817" i="1"/>
  <c r="S821" i="1"/>
  <c r="S858" i="1"/>
  <c r="F843" i="1"/>
  <c r="Q890" i="1"/>
  <c r="F908" i="1"/>
  <c r="AP706" i="1"/>
  <c r="F794" i="1"/>
  <c r="CA610" i="1"/>
  <c r="CE485" i="1"/>
  <c r="AV489" i="1"/>
  <c r="P896" i="1"/>
  <c r="CE896" i="1"/>
  <c r="AC890" i="1"/>
  <c r="CF896" i="1"/>
  <c r="CH896" i="1"/>
  <c r="Y610" i="1"/>
  <c r="AL604" i="1"/>
  <c r="T706" i="1"/>
  <c r="F806" i="1"/>
  <c r="Y710" i="1"/>
  <c r="F743" i="1"/>
  <c r="Y785" i="1"/>
  <c r="AX485" i="1"/>
  <c r="F496" i="1"/>
  <c r="AX568" i="1"/>
  <c r="W335" i="1"/>
  <c r="F366" i="1"/>
  <c r="BA296" i="1"/>
  <c r="F323" i="1"/>
  <c r="BA372" i="1"/>
  <c r="BB404" i="1"/>
  <c r="F462" i="1"/>
  <c r="CF303" i="1"/>
  <c r="AC296" i="1"/>
  <c r="CH303" i="1"/>
  <c r="P303" i="1"/>
  <c r="CE303" i="1"/>
  <c r="BC292" i="1"/>
  <c r="F388" i="1"/>
  <c r="W156" i="1"/>
  <c r="F284" i="1"/>
  <c r="CA160" i="1"/>
  <c r="AR165" i="1"/>
  <c r="AC72" i="1"/>
  <c r="CH94" i="1"/>
  <c r="P94" i="1"/>
  <c r="CE94" i="1"/>
  <c r="CF94" i="1"/>
  <c r="Y40" i="1"/>
  <c r="AL30" i="1"/>
  <c r="AX26" i="1"/>
  <c r="F131" i="1"/>
  <c r="CD755" i="1"/>
  <c r="AZ890" i="1"/>
  <c r="F907" i="1"/>
  <c r="W710" i="1"/>
  <c r="W785" i="1"/>
  <c r="F740" i="1"/>
  <c r="CH604" i="1"/>
  <c r="AY610" i="1"/>
  <c r="P604" i="1"/>
  <c r="F613" i="1"/>
  <c r="P640" i="1"/>
  <c r="CF716" i="1"/>
  <c r="AC710" i="1"/>
  <c r="P716" i="1"/>
  <c r="CE716" i="1"/>
  <c r="CH716" i="1"/>
  <c r="BB481" i="1"/>
  <c r="F581" i="1"/>
  <c r="GP337" i="1"/>
  <c r="CD342" i="1" s="1"/>
  <c r="GM337" i="1"/>
  <c r="CA342" i="1" s="1"/>
  <c r="AB342" i="1"/>
  <c r="AK303" i="1"/>
  <c r="P197" i="1"/>
  <c r="F233" i="1"/>
  <c r="F456" i="1"/>
  <c r="AX404" i="1"/>
  <c r="F325" i="1"/>
  <c r="U296" i="1"/>
  <c r="U372" i="1"/>
  <c r="CH160" i="1"/>
  <c r="AY165" i="1"/>
  <c r="AX160" i="1"/>
  <c r="F172" i="1"/>
  <c r="AX260" i="1"/>
  <c r="AX926" i="1" s="1"/>
  <c r="AX72" i="1"/>
  <c r="F101" i="1"/>
  <c r="GM33" i="1"/>
  <c r="GP33" i="1"/>
  <c r="AP26" i="1"/>
  <c r="F133" i="1"/>
  <c r="AP926" i="1"/>
  <c r="V817" i="1"/>
  <c r="F881" i="1"/>
  <c r="U890" i="1"/>
  <c r="F918" i="1"/>
  <c r="BA600" i="1"/>
  <c r="F660" i="1"/>
  <c r="AX890" i="1"/>
  <c r="F903" i="1"/>
  <c r="F550" i="1"/>
  <c r="Q521" i="1"/>
  <c r="Q604" i="1"/>
  <c r="F622" i="1"/>
  <c r="Q640" i="1"/>
  <c r="AX335" i="1"/>
  <c r="F349" i="1"/>
  <c r="P335" i="1"/>
  <c r="F345" i="1"/>
  <c r="BB600" i="1"/>
  <c r="F653" i="1"/>
  <c r="F723" i="1"/>
  <c r="AX710" i="1"/>
  <c r="AX785" i="1"/>
  <c r="BA335" i="1"/>
  <c r="F362" i="1"/>
  <c r="BD404" i="1"/>
  <c r="F474" i="1"/>
  <c r="AQ404" i="1"/>
  <c r="F459" i="1"/>
  <c r="T296" i="1"/>
  <c r="F324" i="1"/>
  <c r="T372" i="1"/>
  <c r="F327" i="1"/>
  <c r="W296" i="1"/>
  <c r="W372" i="1"/>
  <c r="AZ197" i="1"/>
  <c r="F241" i="1"/>
  <c r="BB292" i="1"/>
  <c r="F385" i="1"/>
  <c r="AF197" i="1"/>
  <c r="S230" i="1"/>
  <c r="T156" i="1"/>
  <c r="F281" i="1"/>
  <c r="Q72" i="1"/>
  <c r="F106" i="1"/>
  <c r="GM75" i="1"/>
  <c r="GP75" i="1"/>
  <c r="X40" i="1"/>
  <c r="AK30" i="1"/>
  <c r="F875" i="1"/>
  <c r="AS817" i="1"/>
  <c r="F910" i="1"/>
  <c r="R890" i="1"/>
  <c r="AX821" i="1"/>
  <c r="AX858" i="1"/>
  <c r="F835" i="1"/>
  <c r="S640" i="1"/>
  <c r="F625" i="1"/>
  <c r="S604" i="1"/>
  <c r="U604" i="1"/>
  <c r="F632" i="1"/>
  <c r="U640" i="1"/>
  <c r="Q408" i="1"/>
  <c r="F431" i="1"/>
  <c r="Q449" i="1"/>
  <c r="AO481" i="1"/>
  <c r="F572" i="1"/>
  <c r="AW419" i="1"/>
  <c r="CF408" i="1"/>
  <c r="BD481" i="1"/>
  <c r="F593" i="1"/>
  <c r="S449" i="1"/>
  <c r="F434" i="1"/>
  <c r="S408" i="1"/>
  <c r="V197" i="1"/>
  <c r="F253" i="1"/>
  <c r="BD292" i="1"/>
  <c r="F397" i="1"/>
  <c r="Y160" i="1"/>
  <c r="F192" i="1"/>
  <c r="GM74" i="1"/>
  <c r="GP74" i="1"/>
  <c r="AB94" i="1"/>
  <c r="AK94" i="1"/>
  <c r="GM299" i="1"/>
  <c r="Y748" i="1"/>
  <c r="F782" i="1"/>
  <c r="F871" i="1"/>
  <c r="BB817" i="1"/>
  <c r="GP892" i="1"/>
  <c r="CD896" i="1" s="1"/>
  <c r="AB896" i="1"/>
  <c r="GM892" i="1"/>
  <c r="CA896" i="1" s="1"/>
  <c r="AF296" i="1"/>
  <c r="S303" i="1"/>
  <c r="O165" i="1"/>
  <c r="AB160" i="1"/>
  <c r="GP76" i="1"/>
  <c r="GM76" i="1"/>
  <c r="AQ26" i="1"/>
  <c r="F134" i="1"/>
  <c r="AQ926" i="1"/>
  <c r="BA890" i="1"/>
  <c r="F916" i="1"/>
  <c r="CF604" i="1"/>
  <c r="AW610" i="1"/>
  <c r="AB485" i="1"/>
  <c r="O489" i="1"/>
  <c r="AT481" i="1"/>
  <c r="F586" i="1"/>
  <c r="R716" i="1"/>
  <c r="AE710" i="1"/>
  <c r="GM712" i="1"/>
  <c r="CA716" i="1" s="1"/>
  <c r="AB716" i="1"/>
  <c r="GP712" i="1"/>
  <c r="CD716" i="1" s="1"/>
  <c r="T449" i="1"/>
  <c r="T408" i="1"/>
  <c r="F440" i="1"/>
  <c r="BA408" i="1"/>
  <c r="F439" i="1"/>
  <c r="BA449" i="1"/>
  <c r="GP227" i="1"/>
  <c r="GM227" i="1"/>
  <c r="CH197" i="1"/>
  <c r="AY230" i="1"/>
  <c r="F465" i="1"/>
  <c r="BC404" i="1"/>
  <c r="Q296" i="1"/>
  <c r="F315" i="1"/>
  <c r="Q372" i="1"/>
  <c r="AQ292" i="1"/>
  <c r="F382" i="1"/>
  <c r="F310" i="1"/>
  <c r="AX296" i="1"/>
  <c r="AX372" i="1"/>
  <c r="CF160" i="1"/>
  <c r="AW165" i="1"/>
  <c r="AT156" i="1"/>
  <c r="F278" i="1"/>
  <c r="V156" i="1"/>
  <c r="F283" i="1"/>
  <c r="AF30" i="1"/>
  <c r="S40" i="1"/>
  <c r="U821" i="1"/>
  <c r="U858" i="1"/>
  <c r="F850" i="1"/>
  <c r="Q710" i="1"/>
  <c r="F728" i="1"/>
  <c r="Q785" i="1"/>
  <c r="AE521" i="1"/>
  <c r="R538" i="1"/>
  <c r="F739" i="1"/>
  <c r="V710" i="1"/>
  <c r="V785" i="1"/>
  <c r="X604" i="1"/>
  <c r="F636" i="1"/>
  <c r="X640" i="1"/>
  <c r="X710" i="1"/>
  <c r="F742" i="1"/>
  <c r="X785" i="1"/>
  <c r="Y485" i="1"/>
  <c r="Y568" i="1"/>
  <c r="F516" i="1"/>
  <c r="CH335" i="1"/>
  <c r="AY342" i="1"/>
  <c r="CA419" i="1"/>
  <c r="W449" i="1"/>
  <c r="W408" i="1"/>
  <c r="F443" i="1"/>
  <c r="W197" i="1"/>
  <c r="F254" i="1"/>
  <c r="AF335" i="1"/>
  <c r="S342" i="1"/>
  <c r="AO156" i="1"/>
  <c r="F264" i="1"/>
  <c r="BC156" i="1"/>
  <c r="F276" i="1"/>
  <c r="AL821" i="1"/>
  <c r="Y828" i="1"/>
  <c r="AZ748" i="1"/>
  <c r="F766" i="1"/>
  <c r="T604" i="1"/>
  <c r="F631" i="1"/>
  <c r="T640" i="1"/>
  <c r="BA710" i="1"/>
  <c r="BA785" i="1"/>
  <c r="F736" i="1"/>
  <c r="BD706" i="1"/>
  <c r="F810" i="1"/>
  <c r="CE408" i="1"/>
  <c r="AV419" i="1"/>
  <c r="AZ404" i="1"/>
  <c r="F460" i="1"/>
  <c r="R303" i="1"/>
  <c r="AE296" i="1"/>
  <c r="GM201" i="1"/>
  <c r="CA230" i="1" s="1"/>
  <c r="AK230" i="1"/>
  <c r="W72" i="1"/>
  <c r="F118" i="1"/>
  <c r="U72" i="1"/>
  <c r="F116" i="1"/>
  <c r="BA30" i="1"/>
  <c r="F60" i="1"/>
  <c r="BA124" i="1"/>
  <c r="AL94" i="1"/>
  <c r="U30" i="1"/>
  <c r="F62" i="1"/>
  <c r="U124" i="1"/>
  <c r="BB26" i="1"/>
  <c r="F137" i="1"/>
  <c r="BB926" i="1"/>
  <c r="Q481" i="1"/>
  <c r="F580" i="1"/>
  <c r="AK521" i="1"/>
  <c r="X538" i="1"/>
  <c r="T335" i="1"/>
  <c r="F363" i="1"/>
  <c r="Q335" i="1"/>
  <c r="F354" i="1"/>
  <c r="AZ335" i="1"/>
  <c r="F353" i="1"/>
  <c r="GM298" i="1"/>
  <c r="CA303" i="1" s="1"/>
  <c r="AB303" i="1"/>
  <c r="GP298" i="1"/>
  <c r="CD303" i="1" s="1"/>
  <c r="AP156" i="1"/>
  <c r="F269" i="1"/>
  <c r="V890" i="1"/>
  <c r="F919" i="1"/>
  <c r="F852" i="1"/>
  <c r="W821" i="1"/>
  <c r="W858" i="1"/>
  <c r="AZ858" i="1"/>
  <c r="AZ821" i="1"/>
  <c r="F839" i="1"/>
  <c r="CD610" i="1"/>
  <c r="AY489" i="1"/>
  <c r="CH485" i="1"/>
  <c r="AK408" i="1"/>
  <c r="X419" i="1"/>
  <c r="GP225" i="1"/>
  <c r="GM225" i="1"/>
  <c r="U197" i="1"/>
  <c r="F252" i="1"/>
  <c r="Q197" i="1"/>
  <c r="F242" i="1"/>
  <c r="CD160" i="1"/>
  <c r="AU165" i="1"/>
  <c r="BD26" i="1"/>
  <c r="F149" i="1"/>
  <c r="BD926" i="1"/>
  <c r="W30" i="1"/>
  <c r="F64" i="1"/>
  <c r="W124" i="1"/>
  <c r="AT26" i="1"/>
  <c r="F142" i="1"/>
  <c r="AT926" i="1"/>
  <c r="Q821" i="1"/>
  <c r="F840" i="1"/>
  <c r="Q858" i="1"/>
  <c r="O755" i="1"/>
  <c r="AB748" i="1"/>
  <c r="BA821" i="1"/>
  <c r="F848" i="1"/>
  <c r="BA858" i="1"/>
  <c r="V748" i="1"/>
  <c r="F778" i="1"/>
  <c r="R821" i="1"/>
  <c r="R858" i="1"/>
  <c r="F842" i="1"/>
  <c r="AZ710" i="1"/>
  <c r="F727" i="1"/>
  <c r="AZ785" i="1"/>
  <c r="AU489" i="1"/>
  <c r="CD485" i="1"/>
  <c r="BC706" i="1"/>
  <c r="F801" i="1"/>
  <c r="R640" i="1"/>
  <c r="F624" i="1"/>
  <c r="R604" i="1"/>
  <c r="GM523" i="1"/>
  <c r="CA538" i="1" s="1"/>
  <c r="AB538" i="1"/>
  <c r="GP523" i="1"/>
  <c r="CD538" i="1" s="1"/>
  <c r="R335" i="1"/>
  <c r="F356" i="1"/>
  <c r="CF197" i="1"/>
  <c r="AW230" i="1"/>
  <c r="X160" i="1"/>
  <c r="F191" i="1"/>
  <c r="CE160" i="1"/>
  <c r="AV165" i="1"/>
  <c r="BB156" i="1"/>
  <c r="F273" i="1"/>
  <c r="BA72" i="1"/>
  <c r="F114" i="1"/>
  <c r="P40" i="1"/>
  <c r="CE40" i="1"/>
  <c r="AC30" i="1"/>
  <c r="CF40" i="1"/>
  <c r="CH40" i="1"/>
  <c r="AK821" i="1"/>
  <c r="X828" i="1"/>
  <c r="GP823" i="1"/>
  <c r="CD828" i="1" s="1"/>
  <c r="GM823" i="1"/>
  <c r="CA828" i="1" s="1"/>
  <c r="AB828" i="1"/>
  <c r="AX640" i="1"/>
  <c r="AX604" i="1"/>
  <c r="F617" i="1"/>
  <c r="AP481" i="1"/>
  <c r="F577" i="1"/>
  <c r="T481" i="1"/>
  <c r="F589" i="1"/>
  <c r="AS706" i="1"/>
  <c r="F802" i="1"/>
  <c r="U481" i="1"/>
  <c r="F590" i="1"/>
  <c r="CF335" i="1"/>
  <c r="AW342" i="1"/>
  <c r="AS481" i="1"/>
  <c r="F585" i="1"/>
  <c r="CD419" i="1"/>
  <c r="AL335" i="1"/>
  <c r="Y342" i="1"/>
  <c r="AZ296" i="1"/>
  <c r="F314" i="1"/>
  <c r="AZ372" i="1"/>
  <c r="S160" i="1"/>
  <c r="F180" i="1"/>
  <c r="S260" i="1"/>
  <c r="AQ156" i="1"/>
  <c r="F270" i="1"/>
  <c r="T748" i="1"/>
  <c r="F776" i="1"/>
  <c r="R485" i="1"/>
  <c r="F503" i="1"/>
  <c r="R568" i="1"/>
  <c r="AZ600" i="1"/>
  <c r="F651" i="1"/>
  <c r="AQ600" i="1"/>
  <c r="F650" i="1"/>
  <c r="U521" i="1"/>
  <c r="F560" i="1"/>
  <c r="F738" i="1"/>
  <c r="U710" i="1"/>
  <c r="U785" i="1"/>
  <c r="BC600" i="1"/>
  <c r="F656" i="1"/>
  <c r="F658" i="1"/>
  <c r="AT600" i="1"/>
  <c r="F422" i="1"/>
  <c r="P449" i="1"/>
  <c r="P408" i="1"/>
  <c r="BB706" i="1"/>
  <c r="F798" i="1"/>
  <c r="AS600" i="1"/>
  <c r="F657" i="1"/>
  <c r="AO706" i="1"/>
  <c r="F789" i="1"/>
  <c r="V335" i="1"/>
  <c r="F365" i="1"/>
  <c r="T197" i="1"/>
  <c r="F251" i="1"/>
  <c r="AP404" i="1"/>
  <c r="F458" i="1"/>
  <c r="AP292" i="1"/>
  <c r="F381" i="1"/>
  <c r="AS156" i="1"/>
  <c r="F277" i="1"/>
  <c r="R165" i="1"/>
  <c r="AE160" i="1"/>
  <c r="BC26" i="1"/>
  <c r="F140" i="1"/>
  <c r="BC926" i="1"/>
  <c r="X748" i="1"/>
  <c r="F781" i="1"/>
  <c r="GM214" i="1"/>
  <c r="Q748" i="1"/>
  <c r="F767" i="1"/>
  <c r="S485" i="1"/>
  <c r="F504" i="1"/>
  <c r="S568" i="1"/>
  <c r="AO600" i="1"/>
  <c r="F644" i="1"/>
  <c r="AC748" i="1"/>
  <c r="P755" i="1"/>
  <c r="CE755" i="1"/>
  <c r="CF755" i="1"/>
  <c r="CH755" i="1"/>
  <c r="AT706" i="1"/>
  <c r="F803" i="1"/>
  <c r="W521" i="1"/>
  <c r="F562" i="1"/>
  <c r="CF485" i="1"/>
  <c r="AW489" i="1"/>
  <c r="AZ485" i="1"/>
  <c r="AZ568" i="1"/>
  <c r="F500" i="1"/>
  <c r="F549" i="1"/>
  <c r="AZ521" i="1"/>
  <c r="AP600" i="1"/>
  <c r="F649" i="1"/>
  <c r="GP223" i="1"/>
  <c r="CD230" i="1" s="1"/>
  <c r="GM223" i="1"/>
  <c r="AT292" i="1"/>
  <c r="F390" i="1"/>
  <c r="AL197" i="1"/>
  <c r="Y230" i="1"/>
  <c r="Y260" i="1" s="1"/>
  <c r="AE197" i="1"/>
  <c r="R230" i="1"/>
  <c r="V72" i="1"/>
  <c r="F117" i="1"/>
  <c r="T30" i="1"/>
  <c r="F61" i="1"/>
  <c r="T124" i="1"/>
  <c r="AS26" i="1"/>
  <c r="F141" i="1"/>
  <c r="AS926" i="1"/>
  <c r="AO26" i="1"/>
  <c r="F128" i="1"/>
  <c r="AO926" i="1"/>
  <c r="X890" i="1"/>
  <c r="F922" i="1"/>
  <c r="CA755" i="1"/>
  <c r="F867" i="1"/>
  <c r="AP817" i="1"/>
  <c r="AV610" i="1"/>
  <c r="CE604" i="1"/>
  <c r="CA485" i="1"/>
  <c r="AR489" i="1"/>
  <c r="F561" i="1"/>
  <c r="V521" i="1"/>
  <c r="F731" i="1"/>
  <c r="S710" i="1"/>
  <c r="S785" i="1"/>
  <c r="V640" i="1"/>
  <c r="V604" i="1"/>
  <c r="F633" i="1"/>
  <c r="CH538" i="1"/>
  <c r="AC521" i="1"/>
  <c r="P538" i="1"/>
  <c r="P568" i="1" s="1"/>
  <c r="CE538" i="1"/>
  <c r="CF538" i="1"/>
  <c r="U335" i="1"/>
  <c r="F364" i="1"/>
  <c r="BA481" i="1"/>
  <c r="F588" i="1"/>
  <c r="U408" i="1"/>
  <c r="F441" i="1"/>
  <c r="U449" i="1"/>
  <c r="Y419" i="1"/>
  <c r="AL408" i="1"/>
  <c r="CE197" i="1"/>
  <c r="AV230" i="1"/>
  <c r="AB230" i="1"/>
  <c r="P160" i="1"/>
  <c r="F168" i="1"/>
  <c r="P260" i="1"/>
  <c r="F54" i="1"/>
  <c r="R30" i="1"/>
  <c r="R124" i="1"/>
  <c r="GM32" i="1"/>
  <c r="CA40" i="1" s="1"/>
  <c r="AB40" i="1"/>
  <c r="GP32" i="1"/>
  <c r="CD40" i="1" s="1"/>
  <c r="V30" i="1"/>
  <c r="F63" i="1"/>
  <c r="V124" i="1"/>
  <c r="F911" i="1"/>
  <c r="S890" i="1"/>
  <c r="F849" i="1"/>
  <c r="T821" i="1"/>
  <c r="T858" i="1"/>
  <c r="AQ706" i="1"/>
  <c r="F795" i="1"/>
  <c r="AC821" i="1"/>
  <c r="CH828" i="1"/>
  <c r="P828" i="1"/>
  <c r="CE828" i="1"/>
  <c r="CF828" i="1"/>
  <c r="F558" i="1"/>
  <c r="BA521" i="1"/>
  <c r="F565" i="1"/>
  <c r="Y521" i="1"/>
  <c r="V408" i="1"/>
  <c r="F442" i="1"/>
  <c r="V449" i="1"/>
  <c r="CE335" i="1"/>
  <c r="AV342" i="1"/>
  <c r="O419" i="1"/>
  <c r="AB408" i="1"/>
  <c r="F433" i="1"/>
  <c r="R408" i="1"/>
  <c r="R449" i="1"/>
  <c r="AT404" i="1"/>
  <c r="F467" i="1"/>
  <c r="AK335" i="1"/>
  <c r="X342" i="1"/>
  <c r="F326" i="1"/>
  <c r="V296" i="1"/>
  <c r="V372" i="1"/>
  <c r="AS292" i="1"/>
  <c r="F389" i="1"/>
  <c r="AZ160" i="1"/>
  <c r="F176" i="1"/>
  <c r="AZ260" i="1"/>
  <c r="T72" i="1"/>
  <c r="F115" i="1"/>
  <c r="R72" i="1"/>
  <c r="F108" i="1"/>
  <c r="BD156" i="1"/>
  <c r="F285" i="1"/>
  <c r="AZ26" i="1"/>
  <c r="F135" i="1"/>
  <c r="AZ926" i="1"/>
  <c r="Y896" i="1"/>
  <c r="AL890" i="1"/>
  <c r="S748" i="1"/>
  <c r="F770" i="1"/>
  <c r="T521" i="1"/>
  <c r="F559" i="1"/>
  <c r="W640" i="1"/>
  <c r="W604" i="1"/>
  <c r="F634" i="1"/>
  <c r="X485" i="1"/>
  <c r="X568" i="1"/>
  <c r="F515" i="1"/>
  <c r="AE748" i="1"/>
  <c r="R755" i="1"/>
  <c r="S521" i="1"/>
  <c r="F553" i="1"/>
  <c r="CH408" i="1"/>
  <c r="AY419" i="1"/>
  <c r="BA197" i="1"/>
  <c r="F250" i="1"/>
  <c r="AO292" i="1"/>
  <c r="F376" i="1"/>
  <c r="Q260" i="1"/>
  <c r="U260" i="1"/>
  <c r="AF72" i="1"/>
  <c r="S94" i="1"/>
  <c r="Q30" i="1"/>
  <c r="F52" i="1"/>
  <c r="Q124" i="1"/>
  <c r="P481" i="1" l="1"/>
  <c r="F571" i="1"/>
  <c r="AX22" i="1"/>
  <c r="AX956" i="1"/>
  <c r="F933" i="1"/>
  <c r="Y156" i="1"/>
  <c r="F287" i="1"/>
  <c r="CD197" i="1"/>
  <c r="AU230" i="1"/>
  <c r="CA197" i="1"/>
  <c r="AR230" i="1"/>
  <c r="Y890" i="1"/>
  <c r="F923" i="1"/>
  <c r="AW828" i="1"/>
  <c r="CF821" i="1"/>
  <c r="V26" i="1"/>
  <c r="F147" i="1"/>
  <c r="V926" i="1"/>
  <c r="AB30" i="1"/>
  <c r="O40" i="1"/>
  <c r="AB197" i="1"/>
  <c r="O230" i="1"/>
  <c r="Y408" i="1"/>
  <c r="F446" i="1"/>
  <c r="Y449" i="1"/>
  <c r="CF521" i="1"/>
  <c r="AW538" i="1"/>
  <c r="AY538" i="1"/>
  <c r="CH521" i="1"/>
  <c r="S706" i="1"/>
  <c r="F800" i="1"/>
  <c r="AV604" i="1"/>
  <c r="F615" i="1"/>
  <c r="AV640" i="1"/>
  <c r="T26" i="1"/>
  <c r="F145" i="1"/>
  <c r="T926" i="1"/>
  <c r="F495" i="1"/>
  <c r="AW568" i="1"/>
  <c r="AW485" i="1"/>
  <c r="AV755" i="1"/>
  <c r="CE748" i="1"/>
  <c r="AZ292" i="1"/>
  <c r="F383" i="1"/>
  <c r="AW335" i="1"/>
  <c r="F348" i="1"/>
  <c r="F647" i="1"/>
  <c r="AX600" i="1"/>
  <c r="F854" i="1"/>
  <c r="X821" i="1"/>
  <c r="X858" i="1"/>
  <c r="AW197" i="1"/>
  <c r="F236" i="1"/>
  <c r="AU538" i="1"/>
  <c r="CD521" i="1"/>
  <c r="BD22" i="1"/>
  <c r="BD956" i="1"/>
  <c r="F951" i="1"/>
  <c r="CA296" i="1"/>
  <c r="AR303" i="1"/>
  <c r="F317" i="1"/>
  <c r="R296" i="1"/>
  <c r="R372" i="1"/>
  <c r="BA706" i="1"/>
  <c r="F805" i="1"/>
  <c r="CA408" i="1"/>
  <c r="AR419" i="1"/>
  <c r="Y481" i="1"/>
  <c r="F595" i="1"/>
  <c r="V706" i="1"/>
  <c r="F808" i="1"/>
  <c r="AX292" i="1"/>
  <c r="F379" i="1"/>
  <c r="CD710" i="1"/>
  <c r="AU716" i="1"/>
  <c r="F730" i="1"/>
  <c r="R710" i="1"/>
  <c r="R785" i="1"/>
  <c r="F318" i="1"/>
  <c r="S296" i="1"/>
  <c r="S372" i="1"/>
  <c r="CD890" i="1"/>
  <c r="AU896" i="1"/>
  <c r="CD94" i="1"/>
  <c r="AX817" i="1"/>
  <c r="F865" i="1"/>
  <c r="W292" i="1"/>
  <c r="F396" i="1"/>
  <c r="AX706" i="1"/>
  <c r="F792" i="1"/>
  <c r="AY160" i="1"/>
  <c r="F173" i="1"/>
  <c r="AY260" i="1"/>
  <c r="CA335" i="1"/>
  <c r="AR342" i="1"/>
  <c r="CH710" i="1"/>
  <c r="AY716" i="1"/>
  <c r="CF710" i="1"/>
  <c r="AW716" i="1"/>
  <c r="AY640" i="1"/>
  <c r="AY604" i="1"/>
  <c r="F618" i="1"/>
  <c r="Y30" i="1"/>
  <c r="F67" i="1"/>
  <c r="CH72" i="1"/>
  <c r="AY94" i="1"/>
  <c r="CE296" i="1"/>
  <c r="AV303" i="1"/>
  <c r="CF296" i="1"/>
  <c r="AW303" i="1"/>
  <c r="AX481" i="1"/>
  <c r="F575" i="1"/>
  <c r="Q26" i="1"/>
  <c r="F136" i="1"/>
  <c r="Q926" i="1"/>
  <c r="F472" i="1"/>
  <c r="V404" i="1"/>
  <c r="AV828" i="1"/>
  <c r="CE821" i="1"/>
  <c r="AR40" i="1"/>
  <c r="CA30" i="1"/>
  <c r="P156" i="1"/>
  <c r="F263" i="1"/>
  <c r="AV197" i="1"/>
  <c r="F235" i="1"/>
  <c r="U404" i="1"/>
  <c r="F471" i="1"/>
  <c r="CE521" i="1"/>
  <c r="AV538" i="1"/>
  <c r="AR485" i="1"/>
  <c r="F517" i="1"/>
  <c r="AS22" i="1"/>
  <c r="F943" i="1"/>
  <c r="E16" i="2" s="1"/>
  <c r="AS956" i="1"/>
  <c r="R197" i="1"/>
  <c r="F244" i="1"/>
  <c r="P748" i="1"/>
  <c r="F758" i="1"/>
  <c r="S481" i="1"/>
  <c r="F583" i="1"/>
  <c r="BC22" i="1"/>
  <c r="F942" i="1"/>
  <c r="BC956" i="1"/>
  <c r="R160" i="1"/>
  <c r="F179" i="1"/>
  <c r="R260" i="1"/>
  <c r="U706" i="1"/>
  <c r="F807" i="1"/>
  <c r="S156" i="1"/>
  <c r="F275" i="1"/>
  <c r="CD408" i="1"/>
  <c r="AU419" i="1"/>
  <c r="O828" i="1"/>
  <c r="AB821" i="1"/>
  <c r="AV40" i="1"/>
  <c r="CE30" i="1"/>
  <c r="AB521" i="1"/>
  <c r="O538" i="1"/>
  <c r="F654" i="1"/>
  <c r="R600" i="1"/>
  <c r="AU485" i="1"/>
  <c r="AU568" i="1"/>
  <c r="F508" i="1"/>
  <c r="W26" i="1"/>
  <c r="F148" i="1"/>
  <c r="W926" i="1"/>
  <c r="AL72" i="1"/>
  <c r="Y94" i="1"/>
  <c r="AK197" i="1"/>
  <c r="X230" i="1"/>
  <c r="S335" i="1"/>
  <c r="F357" i="1"/>
  <c r="AY335" i="1"/>
  <c r="F350" i="1"/>
  <c r="F666" i="1"/>
  <c r="X600" i="1"/>
  <c r="Q706" i="1"/>
  <c r="F797" i="1"/>
  <c r="U817" i="1"/>
  <c r="F880" i="1"/>
  <c r="AW160" i="1"/>
  <c r="F171" i="1"/>
  <c r="AW260" i="1"/>
  <c r="Q292" i="1"/>
  <c r="F384" i="1"/>
  <c r="AB710" i="1"/>
  <c r="O716" i="1"/>
  <c r="AW640" i="1"/>
  <c r="AW604" i="1"/>
  <c r="F616" i="1"/>
  <c r="AQ22" i="1"/>
  <c r="F936" i="1"/>
  <c r="AQ956" i="1"/>
  <c r="CA94" i="1"/>
  <c r="F662" i="1"/>
  <c r="U600" i="1"/>
  <c r="Q600" i="1"/>
  <c r="F652" i="1"/>
  <c r="AX156" i="1"/>
  <c r="F267" i="1"/>
  <c r="CD335" i="1"/>
  <c r="AU342" i="1"/>
  <c r="CE710" i="1"/>
  <c r="AV716" i="1"/>
  <c r="P600" i="1"/>
  <c r="F643" i="1"/>
  <c r="CF72" i="1"/>
  <c r="AW94" i="1"/>
  <c r="P296" i="1"/>
  <c r="F306" i="1"/>
  <c r="P372" i="1"/>
  <c r="Y604" i="1"/>
  <c r="F637" i="1"/>
  <c r="Y640" i="1"/>
  <c r="AV896" i="1"/>
  <c r="CE890" i="1"/>
  <c r="AR610" i="1"/>
  <c r="CA604" i="1"/>
  <c r="AZ22" i="1"/>
  <c r="F937" i="1"/>
  <c r="AZ956" i="1"/>
  <c r="X481" i="1"/>
  <c r="F594" i="1"/>
  <c r="X335" i="1"/>
  <c r="F368" i="1"/>
  <c r="F421" i="1"/>
  <c r="O449" i="1"/>
  <c r="O408" i="1"/>
  <c r="F541" i="1"/>
  <c r="P521" i="1"/>
  <c r="AO22" i="1"/>
  <c r="F930" i="1"/>
  <c r="AO956" i="1"/>
  <c r="AZ481" i="1"/>
  <c r="F579" i="1"/>
  <c r="CH748" i="1"/>
  <c r="AY755" i="1"/>
  <c r="R481" i="1"/>
  <c r="F582" i="1"/>
  <c r="AR828" i="1"/>
  <c r="CA821" i="1"/>
  <c r="CH30" i="1"/>
  <c r="AY40" i="1"/>
  <c r="P30" i="1"/>
  <c r="F43" i="1"/>
  <c r="P124" i="1"/>
  <c r="CA521" i="1"/>
  <c r="AR538" i="1"/>
  <c r="AZ706" i="1"/>
  <c r="F796" i="1"/>
  <c r="F872" i="1"/>
  <c r="R817" i="1"/>
  <c r="BA817" i="1"/>
  <c r="F878" i="1"/>
  <c r="O748" i="1"/>
  <c r="F757" i="1"/>
  <c r="AT22" i="1"/>
  <c r="F944" i="1"/>
  <c r="F16" i="2" s="1"/>
  <c r="F18" i="2" s="1"/>
  <c r="AT956" i="1"/>
  <c r="AY485" i="1"/>
  <c r="F497" i="1"/>
  <c r="AY568" i="1"/>
  <c r="AZ817" i="1"/>
  <c r="F869" i="1"/>
  <c r="CD296" i="1"/>
  <c r="AU303" i="1"/>
  <c r="U26" i="1"/>
  <c r="F146" i="1"/>
  <c r="U926" i="1"/>
  <c r="BA26" i="1"/>
  <c r="F144" i="1"/>
  <c r="BA926" i="1"/>
  <c r="T600" i="1"/>
  <c r="F661" i="1"/>
  <c r="X706" i="1"/>
  <c r="F811" i="1"/>
  <c r="AY197" i="1"/>
  <c r="F238" i="1"/>
  <c r="BA404" i="1"/>
  <c r="F469" i="1"/>
  <c r="CA710" i="1"/>
  <c r="AR716" i="1"/>
  <c r="AR896" i="1"/>
  <c r="CA890" i="1"/>
  <c r="AK72" i="1"/>
  <c r="X94" i="1"/>
  <c r="Q404" i="1"/>
  <c r="F461" i="1"/>
  <c r="S600" i="1"/>
  <c r="F655" i="1"/>
  <c r="S197" i="1"/>
  <c r="F245" i="1"/>
  <c r="AP22" i="1"/>
  <c r="AP956" i="1"/>
  <c r="F935" i="1"/>
  <c r="G16" i="2" s="1"/>
  <c r="G18" i="2" s="1"/>
  <c r="AK296" i="1"/>
  <c r="X303" i="1"/>
  <c r="P710" i="1"/>
  <c r="F719" i="1"/>
  <c r="P785" i="1"/>
  <c r="CE72" i="1"/>
  <c r="AV94" i="1"/>
  <c r="AR160" i="1"/>
  <c r="F193" i="1"/>
  <c r="AR260" i="1"/>
  <c r="CH296" i="1"/>
  <c r="AY303" i="1"/>
  <c r="CH890" i="1"/>
  <c r="AY896" i="1"/>
  <c r="P890" i="1"/>
  <c r="F899" i="1"/>
  <c r="F612" i="1"/>
  <c r="O640" i="1"/>
  <c r="O604" i="1"/>
  <c r="U156" i="1"/>
  <c r="F282" i="1"/>
  <c r="Q156" i="1"/>
  <c r="F272" i="1"/>
  <c r="W600" i="1"/>
  <c r="F664" i="1"/>
  <c r="AZ156" i="1"/>
  <c r="F271" i="1"/>
  <c r="R404" i="1"/>
  <c r="F463" i="1"/>
  <c r="P821" i="1"/>
  <c r="F831" i="1"/>
  <c r="P858" i="1"/>
  <c r="R26" i="1"/>
  <c r="F138" i="1"/>
  <c r="R926" i="1"/>
  <c r="S72" i="1"/>
  <c r="F109" i="1"/>
  <c r="AY449" i="1"/>
  <c r="AY408" i="1"/>
  <c r="F427" i="1"/>
  <c r="R748" i="1"/>
  <c r="F769" i="1"/>
  <c r="V292" i="1"/>
  <c r="F395" i="1"/>
  <c r="AV335" i="1"/>
  <c r="F347" i="1"/>
  <c r="AY828" i="1"/>
  <c r="CH821" i="1"/>
  <c r="T817" i="1"/>
  <c r="F879" i="1"/>
  <c r="CD30" i="1"/>
  <c r="AU40" i="1"/>
  <c r="F663" i="1"/>
  <c r="V600" i="1"/>
  <c r="AR755" i="1"/>
  <c r="CA748" i="1"/>
  <c r="Y197" i="1"/>
  <c r="F257" i="1"/>
  <c r="CF748" i="1"/>
  <c r="AW755" i="1"/>
  <c r="P404" i="1"/>
  <c r="F452" i="1"/>
  <c r="Y335" i="1"/>
  <c r="F369" i="1"/>
  <c r="AU828" i="1"/>
  <c r="CD821" i="1"/>
  <c r="CF30" i="1"/>
  <c r="AW40" i="1"/>
  <c r="AV160" i="1"/>
  <c r="F170" i="1"/>
  <c r="AV260" i="1"/>
  <c r="Q817" i="1"/>
  <c r="F870" i="1"/>
  <c r="AU160" i="1"/>
  <c r="F184" i="1"/>
  <c r="AU260" i="1"/>
  <c r="F445" i="1"/>
  <c r="X449" i="1"/>
  <c r="X408" i="1"/>
  <c r="CD604" i="1"/>
  <c r="AU610" i="1"/>
  <c r="W817" i="1"/>
  <c r="F882" i="1"/>
  <c r="AB296" i="1"/>
  <c r="O303" i="1"/>
  <c r="X521" i="1"/>
  <c r="F564" i="1"/>
  <c r="BB22" i="1"/>
  <c r="BB956" i="1"/>
  <c r="F939" i="1"/>
  <c r="AV449" i="1"/>
  <c r="AV408" i="1"/>
  <c r="F424" i="1"/>
  <c r="Y821" i="1"/>
  <c r="Y858" i="1"/>
  <c r="F855" i="1"/>
  <c r="F473" i="1"/>
  <c r="W404" i="1"/>
  <c r="R521" i="1"/>
  <c r="F552" i="1"/>
  <c r="F55" i="1"/>
  <c r="S30" i="1"/>
  <c r="S124" i="1"/>
  <c r="T404" i="1"/>
  <c r="F470" i="1"/>
  <c r="O485" i="1"/>
  <c r="F491" i="1"/>
  <c r="O568" i="1"/>
  <c r="O160" i="1"/>
  <c r="F167" i="1"/>
  <c r="O260" i="1"/>
  <c r="AB890" i="1"/>
  <c r="O896" i="1"/>
  <c r="AB72" i="1"/>
  <c r="O94" i="1"/>
  <c r="F464" i="1"/>
  <c r="S404" i="1"/>
  <c r="AW408" i="1"/>
  <c r="F425" i="1"/>
  <c r="AW449" i="1"/>
  <c r="X30" i="1"/>
  <c r="F66" i="1"/>
  <c r="X124" i="1"/>
  <c r="T292" i="1"/>
  <c r="F393" i="1"/>
  <c r="U292" i="1"/>
  <c r="F394" i="1"/>
  <c r="AB335" i="1"/>
  <c r="O342" i="1"/>
  <c r="W706" i="1"/>
  <c r="F809" i="1"/>
  <c r="CD748" i="1"/>
  <c r="AU755" i="1"/>
  <c r="P72" i="1"/>
  <c r="F97" i="1"/>
  <c r="BA292" i="1"/>
  <c r="F392" i="1"/>
  <c r="Y706" i="1"/>
  <c r="F812" i="1"/>
  <c r="CF890" i="1"/>
  <c r="AW896" i="1"/>
  <c r="AV485" i="1"/>
  <c r="F494" i="1"/>
  <c r="AV568" i="1"/>
  <c r="F873" i="1"/>
  <c r="S817" i="1"/>
  <c r="Y296" i="1"/>
  <c r="F330" i="1"/>
  <c r="Y372" i="1"/>
  <c r="O156" i="1" l="1"/>
  <c r="F262" i="1"/>
  <c r="R22" i="1"/>
  <c r="F940" i="1"/>
  <c r="R956" i="1"/>
  <c r="AV72" i="1"/>
  <c r="F99" i="1"/>
  <c r="X72" i="1"/>
  <c r="F120" i="1"/>
  <c r="AR710" i="1"/>
  <c r="F744" i="1"/>
  <c r="AR785" i="1"/>
  <c r="F322" i="1"/>
  <c r="AU296" i="1"/>
  <c r="AU372" i="1"/>
  <c r="AY481" i="1"/>
  <c r="F576" i="1"/>
  <c r="P26" i="1"/>
  <c r="F127" i="1"/>
  <c r="P926" i="1"/>
  <c r="F667" i="1"/>
  <c r="Y600" i="1"/>
  <c r="AU335" i="1"/>
  <c r="F361" i="1"/>
  <c r="CA72" i="1"/>
  <c r="AR94" i="1"/>
  <c r="X197" i="1"/>
  <c r="F256" i="1"/>
  <c r="X260" i="1"/>
  <c r="W22" i="1"/>
  <c r="W956" i="1"/>
  <c r="F950" i="1"/>
  <c r="AU481" i="1"/>
  <c r="F587" i="1"/>
  <c r="O521" i="1"/>
  <c r="F540" i="1"/>
  <c r="R156" i="1"/>
  <c r="F274" i="1"/>
  <c r="AS18" i="1"/>
  <c r="F973" i="1"/>
  <c r="Q22" i="1"/>
  <c r="F938" i="1"/>
  <c r="Q956" i="1"/>
  <c r="AY600" i="1"/>
  <c r="F648" i="1"/>
  <c r="CD72" i="1"/>
  <c r="AU94" i="1"/>
  <c r="AR296" i="1"/>
  <c r="F331" i="1"/>
  <c r="AR372" i="1"/>
  <c r="AY521" i="1"/>
  <c r="F546" i="1"/>
  <c r="F42" i="1"/>
  <c r="O30" i="1"/>
  <c r="O124" i="1"/>
  <c r="AX18" i="1"/>
  <c r="F963" i="1"/>
  <c r="X26" i="1"/>
  <c r="F150" i="1"/>
  <c r="Y817" i="1"/>
  <c r="F885" i="1"/>
  <c r="AR748" i="1"/>
  <c r="F783" i="1"/>
  <c r="F836" i="1"/>
  <c r="AY821" i="1"/>
  <c r="AY858" i="1"/>
  <c r="AP18" i="1"/>
  <c r="F965" i="1"/>
  <c r="X404" i="1"/>
  <c r="F475" i="1"/>
  <c r="F457" i="1"/>
  <c r="AY404" i="1"/>
  <c r="O600" i="1"/>
  <c r="F642" i="1"/>
  <c r="AY890" i="1"/>
  <c r="F904" i="1"/>
  <c r="AR156" i="1"/>
  <c r="F288" i="1"/>
  <c r="X296" i="1"/>
  <c r="F329" i="1"/>
  <c r="X372" i="1"/>
  <c r="X926" i="1" s="1"/>
  <c r="U22" i="1"/>
  <c r="F948" i="1"/>
  <c r="U956" i="1"/>
  <c r="F763" i="1"/>
  <c r="AY748" i="1"/>
  <c r="AO18" i="1"/>
  <c r="F960" i="1"/>
  <c r="AZ18" i="1"/>
  <c r="F967" i="1"/>
  <c r="AR604" i="1"/>
  <c r="F638" i="1"/>
  <c r="AR640" i="1"/>
  <c r="AQ18" i="1"/>
  <c r="F966" i="1"/>
  <c r="O821" i="1"/>
  <c r="F830" i="1"/>
  <c r="O858" i="1"/>
  <c r="E18" i="2"/>
  <c r="AV858" i="1"/>
  <c r="F833" i="1"/>
  <c r="AV821" i="1"/>
  <c r="F309" i="1"/>
  <c r="AW296" i="1"/>
  <c r="AW372" i="1"/>
  <c r="AY72" i="1"/>
  <c r="F102" i="1"/>
  <c r="F722" i="1"/>
  <c r="AW710" i="1"/>
  <c r="AW785" i="1"/>
  <c r="AR335" i="1"/>
  <c r="F370" i="1"/>
  <c r="F915" i="1"/>
  <c r="AU890" i="1"/>
  <c r="F735" i="1"/>
  <c r="AU710" i="1"/>
  <c r="AU785" i="1"/>
  <c r="F447" i="1"/>
  <c r="AR449" i="1"/>
  <c r="AR408" i="1"/>
  <c r="R292" i="1"/>
  <c r="F386" i="1"/>
  <c r="X817" i="1"/>
  <c r="F884" i="1"/>
  <c r="AW481" i="1"/>
  <c r="F574" i="1"/>
  <c r="AW521" i="1"/>
  <c r="F544" i="1"/>
  <c r="AR197" i="1"/>
  <c r="F258" i="1"/>
  <c r="O72" i="1"/>
  <c r="F96" i="1"/>
  <c r="AV404" i="1"/>
  <c r="F454" i="1"/>
  <c r="Y292" i="1"/>
  <c r="F399" i="1"/>
  <c r="AW890" i="1"/>
  <c r="F902" i="1"/>
  <c r="AU748" i="1"/>
  <c r="F774" i="1"/>
  <c r="O335" i="1"/>
  <c r="F344" i="1"/>
  <c r="F898" i="1"/>
  <c r="O890" i="1"/>
  <c r="BB18" i="1"/>
  <c r="F969" i="1"/>
  <c r="F305" i="1"/>
  <c r="O296" i="1"/>
  <c r="O372" i="1"/>
  <c r="F629" i="1"/>
  <c r="AU640" i="1"/>
  <c r="AU604" i="1"/>
  <c r="AU821" i="1"/>
  <c r="F847" i="1"/>
  <c r="AU858" i="1"/>
  <c r="P706" i="1"/>
  <c r="F788" i="1"/>
  <c r="BA22" i="1"/>
  <c r="F946" i="1"/>
  <c r="BA956" i="1"/>
  <c r="AR521" i="1"/>
  <c r="F566" i="1"/>
  <c r="F856" i="1"/>
  <c r="AR858" i="1"/>
  <c r="AR821" i="1"/>
  <c r="AW72" i="1"/>
  <c r="F100" i="1"/>
  <c r="AV710" i="1"/>
  <c r="F721" i="1"/>
  <c r="AV785" i="1"/>
  <c r="F646" i="1"/>
  <c r="AW600" i="1"/>
  <c r="Y72" i="1"/>
  <c r="F121" i="1"/>
  <c r="F438" i="1"/>
  <c r="AU449" i="1"/>
  <c r="AU408" i="1"/>
  <c r="AV521" i="1"/>
  <c r="F543" i="1"/>
  <c r="R706" i="1"/>
  <c r="F799" i="1"/>
  <c r="AU521" i="1"/>
  <c r="F557" i="1"/>
  <c r="AV600" i="1"/>
  <c r="F645" i="1"/>
  <c r="O197" i="1"/>
  <c r="F232" i="1"/>
  <c r="V22" i="1"/>
  <c r="F949" i="1"/>
  <c r="V956" i="1"/>
  <c r="AW821" i="1"/>
  <c r="AW858" i="1"/>
  <c r="F834" i="1"/>
  <c r="S26" i="1"/>
  <c r="F139" i="1"/>
  <c r="S926" i="1"/>
  <c r="AV156" i="1"/>
  <c r="F265" i="1"/>
  <c r="AV481" i="1"/>
  <c r="F573" i="1"/>
  <c r="AW404" i="1"/>
  <c r="F455" i="1"/>
  <c r="O481" i="1"/>
  <c r="F570" i="1"/>
  <c r="AU156" i="1"/>
  <c r="F279" i="1"/>
  <c r="AW30" i="1"/>
  <c r="F46" i="1"/>
  <c r="AW124" i="1"/>
  <c r="AW748" i="1"/>
  <c r="F761" i="1"/>
  <c r="F59" i="1"/>
  <c r="AU30" i="1"/>
  <c r="AU124" i="1"/>
  <c r="P817" i="1"/>
  <c r="F861" i="1"/>
  <c r="F311" i="1"/>
  <c r="AY296" i="1"/>
  <c r="AY372" i="1"/>
  <c r="AR890" i="1"/>
  <c r="F924" i="1"/>
  <c r="AT18" i="1"/>
  <c r="F974" i="1"/>
  <c r="AY30" i="1"/>
  <c r="F48" i="1"/>
  <c r="AY124" i="1"/>
  <c r="O404" i="1"/>
  <c r="F451" i="1"/>
  <c r="AV890" i="1"/>
  <c r="F901" i="1"/>
  <c r="P292" i="1"/>
  <c r="F375" i="1"/>
  <c r="F718" i="1"/>
  <c r="O710" i="1"/>
  <c r="O785" i="1"/>
  <c r="AW156" i="1"/>
  <c r="F266" i="1"/>
  <c r="AV30" i="1"/>
  <c r="F45" i="1"/>
  <c r="AV124" i="1"/>
  <c r="BC18" i="1"/>
  <c r="F972" i="1"/>
  <c r="AR568" i="1"/>
  <c r="AR30" i="1"/>
  <c r="F68" i="1"/>
  <c r="AR124" i="1"/>
  <c r="AV296" i="1"/>
  <c r="F308" i="1"/>
  <c r="AV372" i="1"/>
  <c r="Y124" i="1"/>
  <c r="AY710" i="1"/>
  <c r="F724" i="1"/>
  <c r="AY785" i="1"/>
  <c r="AY156" i="1"/>
  <c r="F268" i="1"/>
  <c r="S292" i="1"/>
  <c r="F387" i="1"/>
  <c r="BD18" i="1"/>
  <c r="F981" i="1"/>
  <c r="F760" i="1"/>
  <c r="AV748" i="1"/>
  <c r="T22" i="1"/>
  <c r="T956" i="1"/>
  <c r="F947" i="1"/>
  <c r="F476" i="1"/>
  <c r="Y404" i="1"/>
  <c r="AU197" i="1"/>
  <c r="F249" i="1"/>
  <c r="X22" i="1" l="1"/>
  <c r="F952" i="1"/>
  <c r="X956" i="1"/>
  <c r="S22" i="1"/>
  <c r="S956" i="1"/>
  <c r="F941" i="1"/>
  <c r="J16" i="2" s="1"/>
  <c r="J18" i="2" s="1"/>
  <c r="F468" i="1"/>
  <c r="AU404" i="1"/>
  <c r="BA18" i="1"/>
  <c r="F976" i="1"/>
  <c r="T18" i="1"/>
  <c r="F977" i="1"/>
  <c r="AR481" i="1"/>
  <c r="F596" i="1"/>
  <c r="Y26" i="1"/>
  <c r="F151" i="1"/>
  <c r="Y926" i="1"/>
  <c r="AR26" i="1"/>
  <c r="F152" i="1"/>
  <c r="AR926" i="1"/>
  <c r="AY26" i="1"/>
  <c r="F132" i="1"/>
  <c r="AY926" i="1"/>
  <c r="AU26" i="1"/>
  <c r="F143" i="1"/>
  <c r="AU926" i="1"/>
  <c r="V18" i="1"/>
  <c r="F979" i="1"/>
  <c r="AV706" i="1"/>
  <c r="F790" i="1"/>
  <c r="AW706" i="1"/>
  <c r="F791" i="1"/>
  <c r="P22" i="1"/>
  <c r="F929" i="1"/>
  <c r="P956" i="1"/>
  <c r="AR706" i="1"/>
  <c r="F813" i="1"/>
  <c r="AW817" i="1"/>
  <c r="F864" i="1"/>
  <c r="AY706" i="1"/>
  <c r="F793" i="1"/>
  <c r="AV292" i="1"/>
  <c r="F377" i="1"/>
  <c r="AW26" i="1"/>
  <c r="F130" i="1"/>
  <c r="AW926" i="1"/>
  <c r="O292" i="1"/>
  <c r="F374" i="1"/>
  <c r="AU706" i="1"/>
  <c r="F804" i="1"/>
  <c r="AW292" i="1"/>
  <c r="F378" i="1"/>
  <c r="F860" i="1"/>
  <c r="O817" i="1"/>
  <c r="AY817" i="1"/>
  <c r="F866" i="1"/>
  <c r="O26" i="1"/>
  <c r="F126" i="1"/>
  <c r="O926" i="1"/>
  <c r="AU72" i="1"/>
  <c r="F113" i="1"/>
  <c r="Q18" i="1"/>
  <c r="F968" i="1"/>
  <c r="W18" i="1"/>
  <c r="F980" i="1"/>
  <c r="AU292" i="1"/>
  <c r="F391" i="1"/>
  <c r="AV26" i="1"/>
  <c r="F129" i="1"/>
  <c r="AV926" i="1"/>
  <c r="AV817" i="1"/>
  <c r="F863" i="1"/>
  <c r="AR600" i="1"/>
  <c r="F668" i="1"/>
  <c r="X292" i="1"/>
  <c r="F398" i="1"/>
  <c r="AR292" i="1"/>
  <c r="F400" i="1"/>
  <c r="AR72" i="1"/>
  <c r="F122" i="1"/>
  <c r="AR817" i="1"/>
  <c r="F886" i="1"/>
  <c r="O706" i="1"/>
  <c r="F787" i="1"/>
  <c r="AY292" i="1"/>
  <c r="F380" i="1"/>
  <c r="F877" i="1"/>
  <c r="AU817" i="1"/>
  <c r="AU600" i="1"/>
  <c r="F659" i="1"/>
  <c r="AR404" i="1"/>
  <c r="F477" i="1"/>
  <c r="U18" i="1"/>
  <c r="F978" i="1"/>
  <c r="X156" i="1"/>
  <c r="F286" i="1"/>
  <c r="R18" i="1"/>
  <c r="F970" i="1"/>
  <c r="AR22" i="1" l="1"/>
  <c r="F954" i="1"/>
  <c r="AR956" i="1"/>
  <c r="O22" i="1"/>
  <c r="F928" i="1"/>
  <c r="O956" i="1"/>
  <c r="P18" i="1"/>
  <c r="F959" i="1"/>
  <c r="AY22" i="1"/>
  <c r="F934" i="1"/>
  <c r="AY956" i="1"/>
  <c r="X18" i="1"/>
  <c r="F982" i="1"/>
  <c r="AV22" i="1"/>
  <c r="AV956" i="1"/>
  <c r="F931" i="1"/>
  <c r="AW22" i="1"/>
  <c r="F932" i="1"/>
  <c r="AW956" i="1"/>
  <c r="AU22" i="1"/>
  <c r="F945" i="1"/>
  <c r="H16" i="2" s="1"/>
  <c r="AU956" i="1"/>
  <c r="Y22" i="1"/>
  <c r="F953" i="1"/>
  <c r="Y956" i="1"/>
  <c r="S18" i="1"/>
  <c r="F971" i="1"/>
  <c r="AY18" i="1" l="1"/>
  <c r="F964" i="1"/>
  <c r="AW18" i="1"/>
  <c r="F962" i="1"/>
  <c r="AV18" i="1"/>
  <c r="F961" i="1"/>
  <c r="AU18" i="1"/>
  <c r="F975" i="1"/>
  <c r="O18" i="1"/>
  <c r="F958" i="1"/>
  <c r="AR18" i="1"/>
  <c r="F984" i="1"/>
  <c r="F985" i="1" s="1"/>
  <c r="Y18" i="1"/>
  <c r="F983" i="1"/>
  <c r="H18" i="2"/>
  <c r="I16" i="2"/>
  <c r="I18" i="2" s="1"/>
  <c r="F986" i="1" l="1"/>
  <c r="F987" i="1" s="1"/>
</calcChain>
</file>

<file path=xl/sharedStrings.xml><?xml version="1.0" encoding="utf-8"?>
<sst xmlns="http://schemas.openxmlformats.org/spreadsheetml/2006/main" count="12987" uniqueCount="781">
  <si>
    <t>Smeta.RU Flash  (495) 974-1589</t>
  </si>
  <si>
    <t>_PS_</t>
  </si>
  <si>
    <t>Smeta.RU Flash</t>
  </si>
  <si>
    <t/>
  </si>
  <si>
    <t>Благоустройство Хавская улица, 19</t>
  </si>
  <si>
    <t>Сметные нормы списания</t>
  </si>
  <si>
    <t>Коды ОКП для СН-2012 - 2021 г.</t>
  </si>
  <si>
    <t>СН-2012 - 2021 г_глава_1-5,7</t>
  </si>
  <si>
    <t>Типовой расчет для СН-2012 - 2021 г</t>
  </si>
  <si>
    <t>СН-2012-2021 г. База данных "Сборник стоимостных нормативов"</t>
  </si>
  <si>
    <t>Поправки для СН-2012-2021 в ценах на 01.10.2020 г</t>
  </si>
  <si>
    <t>Новая локальная смета</t>
  </si>
  <si>
    <t>Новый раздел</t>
  </si>
  <si>
    <t>Веранды</t>
  </si>
  <si>
    <t>Новый подраздел</t>
  </si>
  <si>
    <t>Демонтажные работы</t>
  </si>
  <si>
    <t>1</t>
  </si>
  <si>
    <t>1.7-3203-11-1/1</t>
  </si>
  <si>
    <t>Монтаж кровельного покрытия из профилированного листа при высоте здания до 25 м</t>
  </si>
  <si>
    <t>100 м2</t>
  </si>
  <si>
    <t>СН-2012-2021.1. База. Сб.7-3203-11-1/1</t>
  </si>
  <si>
    <t>)*0</t>
  </si>
  <si>
    <t>)*0,2</t>
  </si>
  <si>
    <t>СН-2012</t>
  </si>
  <si>
    <t>Подрядные работы, гл. 1-5,7</t>
  </si>
  <si>
    <t>работа</t>
  </si>
  <si>
    <t>Поправка: СН-2012 О.П. п.22</t>
  </si>
  <si>
    <t>2</t>
  </si>
  <si>
    <t>1.7-5104-1-1/1</t>
  </si>
  <si>
    <t>Разборка конструктивных элементов крыши, обрешетки из брусков и досок с прозорами</t>
  </si>
  <si>
    <t>10 м2</t>
  </si>
  <si>
    <t>СН-2012-2021.1. База. Сб.7-5104-1-1/1</t>
  </si>
  <si>
    <t>3</t>
  </si>
  <si>
    <t>1.8-3504-1-1/1</t>
  </si>
  <si>
    <t>Разборка монолитных бетонных перегородок</t>
  </si>
  <si>
    <t>м3</t>
  </si>
  <si>
    <t>СН-2012-2021.1. База. Сб.8-3504-1-1/1</t>
  </si>
  <si>
    <t>Стенки + колонны на 4-х верандах</t>
  </si>
  <si>
    <t>4</t>
  </si>
  <si>
    <t>1.10-3404-2-1/1</t>
  </si>
  <si>
    <t>Разборка дощатых покрытий</t>
  </si>
  <si>
    <t>СН-2012-2021.1. База. Сб.10-3404-2-1/1</t>
  </si>
  <si>
    <t>5</t>
  </si>
  <si>
    <t>1.10-3404-1-2/1</t>
  </si>
  <si>
    <t>Разборка лаг из досок и брусков</t>
  </si>
  <si>
    <t>СН-2012-2021.1. База. Сб.10-3404-1-2/1</t>
  </si>
  <si>
    <t>6</t>
  </si>
  <si>
    <t>1.8-3204-1-5/1</t>
  </si>
  <si>
    <t>Разборка деревянных перегородок каркасных, обшитых досками, неоштукатуренных</t>
  </si>
  <si>
    <t>СН-2012-2021.1. База. Сб.8-3204-1-5/1</t>
  </si>
  <si>
    <t>ПЗ</t>
  </si>
  <si>
    <t>Прямые затраты</t>
  </si>
  <si>
    <t>СтМатОб</t>
  </si>
  <si>
    <t>Стоимость материальных ресурсов (всего)</t>
  </si>
  <si>
    <t>СтМатОбЗак</t>
  </si>
  <si>
    <t>Стоимость материалов и оборудования заказчика</t>
  </si>
  <si>
    <t>СтМатОбПод</t>
  </si>
  <si>
    <t>Стоимость материалов и оборудования подрядчика</t>
  </si>
  <si>
    <t>СтМат</t>
  </si>
  <si>
    <t>Стоимость материалов (всего)</t>
  </si>
  <si>
    <t>СтМатЗак</t>
  </si>
  <si>
    <t>Стоимость материалов заказчика</t>
  </si>
  <si>
    <t>СтМатПод</t>
  </si>
  <si>
    <t>Стоимость материалов подрядчика</t>
  </si>
  <si>
    <t>Оборуд</t>
  </si>
  <si>
    <t>Стоимость оборудования (всего)</t>
  </si>
  <si>
    <t>ОборудЗак</t>
  </si>
  <si>
    <t>Стоимость оборудования заказчика</t>
  </si>
  <si>
    <t>ОборудПод</t>
  </si>
  <si>
    <t>Стоимость оборудования подрядчика</t>
  </si>
  <si>
    <t>ЭММ</t>
  </si>
  <si>
    <t>Эксплуатация машин</t>
  </si>
  <si>
    <t>ЭММсНРиСП</t>
  </si>
  <si>
    <t>Эксплуатация машин по ТСН-2001.16</t>
  </si>
  <si>
    <t>ЗПМ</t>
  </si>
  <si>
    <t>ЗП машинистов</t>
  </si>
  <si>
    <t>ОЗП</t>
  </si>
  <si>
    <t>Основная ЗП рабочих</t>
  </si>
  <si>
    <t>ОЗПсНРиСП</t>
  </si>
  <si>
    <t>Основная ЗП рабочих по ТСН-2001.16</t>
  </si>
  <si>
    <t>Строит</t>
  </si>
  <si>
    <t>Строительные работы с НР и СП</t>
  </si>
  <si>
    <t>Монтаж</t>
  </si>
  <si>
    <t>Монтажные работы с НР и СП</t>
  </si>
  <si>
    <t>Прочие</t>
  </si>
  <si>
    <t>Прочие работы с НР и СП</t>
  </si>
  <si>
    <t>ПрочиеЗатр</t>
  </si>
  <si>
    <t>Прочие затраты по ТСН-2001.16</t>
  </si>
  <si>
    <t>ВозврМат</t>
  </si>
  <si>
    <t>Возврат материалов</t>
  </si>
  <si>
    <t>ТрудСтр</t>
  </si>
  <si>
    <t>Трудозатраты строителей</t>
  </si>
  <si>
    <t>ТрудМаш</t>
  </si>
  <si>
    <t>Трудозатраты машинистов</t>
  </si>
  <si>
    <t>ТранспМат</t>
  </si>
  <si>
    <t>Транспорт материалов</t>
  </si>
  <si>
    <t>Перевозка</t>
  </si>
  <si>
    <t>Перевозка грузов</t>
  </si>
  <si>
    <t>НР</t>
  </si>
  <si>
    <t>Накладные расходы</t>
  </si>
  <si>
    <t>СмПриб</t>
  </si>
  <si>
    <t>Сметная прибыль</t>
  </si>
  <si>
    <t>Всего</t>
  </si>
  <si>
    <t>Всего с НР и СП</t>
  </si>
  <si>
    <t>Строительные работы</t>
  </si>
  <si>
    <t>7</t>
  </si>
  <si>
    <t>1.1-3303-2-1/1</t>
  </si>
  <si>
    <t>Разработка грунта вручную в траншеях глубиной до 2 м без креплений с откосами группа грунтов 1-3</t>
  </si>
  <si>
    <t>100 м3</t>
  </si>
  <si>
    <t>СН-2012-2021.1. База. Сб.1-3303-2-1/1</t>
  </si>
  <si>
    <t>8</t>
  </si>
  <si>
    <t>2.49-3202-4-1/1</t>
  </si>
  <si>
    <t>Уплотнение грунта пневматическими трамбовками, группа грунтов 1, 2</t>
  </si>
  <si>
    <t>СН-2012-2021.2. База. Сб.49-3202-4-1/1</t>
  </si>
  <si>
    <t>9</t>
  </si>
  <si>
    <t>1.10-3103-1-1/1</t>
  </si>
  <si>
    <t>Устройство уплотняемых трамбовками подстилающих слоев песчаных</t>
  </si>
  <si>
    <t>СН-2012-2021.1. База. Сб.10-3103-1-1/1</t>
  </si>
  <si>
    <t>10</t>
  </si>
  <si>
    <t>5.3-5202-5-1/1</t>
  </si>
  <si>
    <t>Устройство бетонного поребрика на бетонном основании</t>
  </si>
  <si>
    <t>м</t>
  </si>
  <si>
    <t>СН-2012-2021.5. База. Сб.3-5202-5-1/1</t>
  </si>
  <si>
    <t>10,1</t>
  </si>
  <si>
    <t>21.5-3-12</t>
  </si>
  <si>
    <t>Камни бетонные бортовые, марка БР60.20.8</t>
  </si>
  <si>
    <t>СН-2012-2021.21. База. Р.5, о.3, поз.12</t>
  </si>
  <si>
    <t>11</t>
  </si>
  <si>
    <t>1.10-3103-1-3/1</t>
  </si>
  <si>
    <t>Устройство уплотняемых трамбовками подстилающих слоев щебеночных</t>
  </si>
  <si>
    <t>СН-2012-2021.1. База. Сб.10-3103-1-3/1</t>
  </si>
  <si>
    <t>12</t>
  </si>
  <si>
    <t>1.10-3303-2-3/1</t>
  </si>
  <si>
    <t>Устройство покрытий из асфальтобетонных горячих мелкозернистых смесей, марка II, тип В,  толщиной 25 мм</t>
  </si>
  <si>
    <t>СН-2012-2021.1. База. Сб.10-3303-2-3/1</t>
  </si>
  <si>
    <t>13</t>
  </si>
  <si>
    <t>1.10-3303-2-4/1</t>
  </si>
  <si>
    <t>Добавлять или исключать на 5 мм изменения толщины к поз.10-3303-2-3</t>
  </si>
  <si>
    <t>СН-2012-2021.1. База. Сб.10-3303-2-4/1</t>
  </si>
  <si>
    <t>14</t>
  </si>
  <si>
    <t>5.3-3103-11-1/1</t>
  </si>
  <si>
    <t>Устройство наливного полиуретанового покрытия спортивных площадок и беговых дорожек толщиной 10 мм</t>
  </si>
  <si>
    <t>СН-2012-2021.5. База. Сб.3-3103-11-1/1</t>
  </si>
  <si>
    <t>15</t>
  </si>
  <si>
    <t>1.1-3101-5-2/1</t>
  </si>
  <si>
    <t>Рытье ям для установки стоек и столбов глубина 0,7 м</t>
  </si>
  <si>
    <t>100 ям</t>
  </si>
  <si>
    <t>СН-2012-2021.1. База. Сб.1-3101-5-2/1</t>
  </si>
  <si>
    <t>16</t>
  </si>
  <si>
    <t>1.2-3103-2-1/1</t>
  </si>
  <si>
    <t>Устройство бетонной подготовки</t>
  </si>
  <si>
    <t>СН-2012-2021.1. База. Сб.2-3103-2-1/1</t>
  </si>
  <si>
    <t>17</t>
  </si>
  <si>
    <t>1.50-3203-3-6/1</t>
  </si>
  <si>
    <t>Установка стальных конструкций, остающихся в теле бетона</t>
  </si>
  <si>
    <t>т</t>
  </si>
  <si>
    <t>СН-2012-2021.1. База. Сб.50-3203-3-6/1</t>
  </si>
  <si>
    <t>17,1</t>
  </si>
  <si>
    <t>21.6-1-17</t>
  </si>
  <si>
    <t>Конструктивные эл-ты вспом.назн.,эл-ты крепл.подвес. потолков,трубопр.,воздухов.,закл.детали,детали крепл.стен.панелей,ворот,переплетов решеток,массой не более 50 кг, с преобл.проф.проката, с отверстиями собираемые из двух и более деталей</t>
  </si>
  <si>
    <t>СН-2012-2021.21. База. Р.6, о.1, поз.17</t>
  </si>
  <si>
    <t>17,2</t>
  </si>
  <si>
    <t>21.1-10-47</t>
  </si>
  <si>
    <t>Профили стальные электросварные квадратного сечения трубчатые, размер стороны 80 мм, толщина стенки 3-6 мм</t>
  </si>
  <si>
    <t>СН-2012-2021.21. База. Р.1, о.10, поз.47</t>
  </si>
  <si>
    <t>18</t>
  </si>
  <si>
    <t>1.50-3203-43-2/1</t>
  </si>
  <si>
    <t>Изготовление мелких индивидуальных конструкций (стремянок, связей, кронштейнов, тормозных конструкций и пр.)</t>
  </si>
  <si>
    <t>СН-2012-2021.1. База. Сб.50-3203-43-2/1</t>
  </si>
  <si>
    <t>19</t>
  </si>
  <si>
    <t>1.50-3203-37-3/1</t>
  </si>
  <si>
    <t>Монтаж мелких конструкций из стали различного профиля массой до 100 кг</t>
  </si>
  <si>
    <t>СН-2012-2021.1. База. Сб.50-3203-37-3/1</t>
  </si>
  <si>
    <t>20</t>
  </si>
  <si>
    <t>1.13-3203-17-4/1</t>
  </si>
  <si>
    <t>Масляная окраска белилами с добавлением колера металлических решеток, переплетов, труб, диаметром менее 50 мм и т.п. за два раза</t>
  </si>
  <si>
    <t>СН-2012-2021.1. База. Сб.13-3203-17-4/1</t>
  </si>
  <si>
    <t>21</t>
  </si>
  <si>
    <t>1.14-3505-2-1/2</t>
  </si>
  <si>
    <t>Облицовка поликарбонатом ячеистым толщиной 10 мм металлических конструкций с креплением через соединительные профили, поверхность вертикальная</t>
  </si>
  <si>
    <t>СН-2012-2021.1. База. Сб.14-3505-2-1/2</t>
  </si>
  <si>
    <t>22</t>
  </si>
  <si>
    <t>Игровые и спортивные площадки</t>
  </si>
  <si>
    <t>23</t>
  </si>
  <si>
    <t>Демонтаж МАФ 16 шт.</t>
  </si>
  <si>
    <t>24</t>
  </si>
  <si>
    <t>25</t>
  </si>
  <si>
    <t>26</t>
  </si>
  <si>
    <t>27</t>
  </si>
  <si>
    <t>27,1</t>
  </si>
  <si>
    <t>28</t>
  </si>
  <si>
    <t>29</t>
  </si>
  <si>
    <t>30</t>
  </si>
  <si>
    <t>31</t>
  </si>
  <si>
    <t>32</t>
  </si>
  <si>
    <t>32,1</t>
  </si>
  <si>
    <t>Цена поставщика</t>
  </si>
  <si>
    <t>1500-3 Песочница 1,5х1,5х0,65 м</t>
  </si>
  <si>
    <t>шт.</t>
  </si>
  <si>
    <t>[14 500 / 1,2]</t>
  </si>
  <si>
    <t>0</t>
  </si>
  <si>
    <t>32,2</t>
  </si>
  <si>
    <t>4404 Паровозик Тип 4</t>
  </si>
  <si>
    <t>[117 250 / 1,2]</t>
  </si>
  <si>
    <t>32,3</t>
  </si>
  <si>
    <t>4702 Игровая панель Часы 0,9х1,0 м</t>
  </si>
  <si>
    <t>[8 500 / 1,2]</t>
  </si>
  <si>
    <t>32,4</t>
  </si>
  <si>
    <t>4704 Жираф с баскетбольным щитом 1,4х1,0х2,5 м</t>
  </si>
  <si>
    <t>[35 150 / 1,2]</t>
  </si>
  <si>
    <t>32,5</t>
  </si>
  <si>
    <t>1210-3 Качалка на пружине 0,84х0,5х0,95 м</t>
  </si>
  <si>
    <t>[18 000 / 1,2]</t>
  </si>
  <si>
    <t>32,6</t>
  </si>
  <si>
    <t>1210-4 Качалка на пружине 0,76х0,5х0,8 м</t>
  </si>
  <si>
    <t>32,7</t>
  </si>
  <si>
    <t>1210-6 Качалка на пружине 0,75х0,51х0,96 м</t>
  </si>
  <si>
    <t>[18 900 / 1,2]</t>
  </si>
  <si>
    <t>32,8</t>
  </si>
  <si>
    <t>1240-2 Качалка на пружине 1,15х0,9х1,0</t>
  </si>
  <si>
    <t>[28 500 / 1,2]</t>
  </si>
  <si>
    <t>32,9</t>
  </si>
  <si>
    <t>1621 Лавочка Автомобиль 1,5х0,6х1,0 м</t>
  </si>
  <si>
    <t>[12 450 / 1,2]</t>
  </si>
  <si>
    <t>32,10</t>
  </si>
  <si>
    <t>1622 Лавочка Карета 1,5х0,6х1,0 м</t>
  </si>
  <si>
    <t>32,11</t>
  </si>
  <si>
    <t>1625 Лавочка Медвежонок 1,2х0,42х0,92 м</t>
  </si>
  <si>
    <t>[7 450 / 1,2]</t>
  </si>
  <si>
    <t>32,12</t>
  </si>
  <si>
    <t>1626 Лавочка Касатка 1,2х0,42х0,95 м</t>
  </si>
  <si>
    <t>32,13</t>
  </si>
  <si>
    <t>4001 Стол со стульчиками 1,2х1,2х0,6 м</t>
  </si>
  <si>
    <t>[12 750 / 1,2]</t>
  </si>
  <si>
    <t>32,14</t>
  </si>
  <si>
    <t>4102 Домик Тип 2 1,5х1,4х1,6 м</t>
  </si>
  <si>
    <t>[39 900 / 1,2]</t>
  </si>
  <si>
    <t>32,15</t>
  </si>
  <si>
    <t>4104-1 Домик Тип 4 1,1х1,0х2,0 м</t>
  </si>
  <si>
    <t>[35 900 / 1,2]</t>
  </si>
  <si>
    <t>32,16</t>
  </si>
  <si>
    <t>4104-4 Домик Тип 4 1,4х1,4х2,5 м</t>
  </si>
  <si>
    <t>[39 750 / 1,2]</t>
  </si>
  <si>
    <t>32,17</t>
  </si>
  <si>
    <t>4104-2 Домик Тип 4 1,0х1,0х1,75 м</t>
  </si>
  <si>
    <t>[34 250 / 1,2]</t>
  </si>
  <si>
    <t>32,18</t>
  </si>
  <si>
    <t>6006 Стенд 1,18х0,45х2,0 м</t>
  </si>
  <si>
    <t>[12 500 / 1,2]</t>
  </si>
  <si>
    <t>32,19</t>
  </si>
  <si>
    <t>6002 Велопарковка Тип 2 2,9х1,0х1,0 м</t>
  </si>
  <si>
    <t>32,20</t>
  </si>
  <si>
    <t>3513 Футбольные ворота (без сетки) 3,0х1,04х2,0 м</t>
  </si>
  <si>
    <t>[13 750 / 1,2]</t>
  </si>
  <si>
    <t>Контейнерная площадка</t>
  </si>
  <si>
    <t>33</t>
  </si>
  <si>
    <t>34</t>
  </si>
  <si>
    <t>1.50-3203-37-2/1</t>
  </si>
  <si>
    <t>Монтаж мелких конструкций из стали различного профиля массой до 50 кг</t>
  </si>
  <si>
    <t>СН-2012-2021.1. База. Сб.50-3203-37-2/1</t>
  </si>
  <si>
    <t>35</t>
  </si>
  <si>
    <t>1.11-3304-3-1/1</t>
  </si>
  <si>
    <t>Демонтаж дверных металлических блоков</t>
  </si>
  <si>
    <t>СН-2012-2020.1. База. Сб.11-3304-3-1/1</t>
  </si>
  <si>
    <t>36</t>
  </si>
  <si>
    <t>1.5-3104-1-1/1</t>
  </si>
  <si>
    <t>Разборка кладки стен из кирпича простых</t>
  </si>
  <si>
    <t>10 м3</t>
  </si>
  <si>
    <t>СН-2012-2020.1. База. Сб.5-3104-1-1/1</t>
  </si>
  <si>
    <t>37</t>
  </si>
  <si>
    <t>38</t>
  </si>
  <si>
    <t>39</t>
  </si>
  <si>
    <t>39,1</t>
  </si>
  <si>
    <t>Контейнерная площадка на 3 контейнера (с дверьми)</t>
  </si>
  <si>
    <t>[42 342 / 1,2]</t>
  </si>
  <si>
    <t>Дорожки до веранд</t>
  </si>
  <si>
    <t>40</t>
  </si>
  <si>
    <t>41</t>
  </si>
  <si>
    <t>42</t>
  </si>
  <si>
    <t>43</t>
  </si>
  <si>
    <t>43,1</t>
  </si>
  <si>
    <t>44</t>
  </si>
  <si>
    <t>45</t>
  </si>
  <si>
    <t>46</t>
  </si>
  <si>
    <t>Забор</t>
  </si>
  <si>
    <t>47</t>
  </si>
  <si>
    <t>48</t>
  </si>
  <si>
    <t>5.3-3203-2-1/1</t>
  </si>
  <si>
    <t>Изготовление и установка секций металлического ограждения, калиток, ворот из профилированной трубы, масса секции до 150 кг</t>
  </si>
  <si>
    <t>м2</t>
  </si>
  <si>
    <t>СН-2012-2021.5. База. Сб.3-3203-2-1/1</t>
  </si>
  <si>
    <t>48,1</t>
  </si>
  <si>
    <t>21.1-10-28</t>
  </si>
  <si>
    <t>Профили стальные электросварные квадратного сечения трубчатые, размер стороны 40 мм, толщина стенки 2 мм</t>
  </si>
  <si>
    <t>СН-2012-2021.21. База. Р.1, о.10, поз.28</t>
  </si>
  <si>
    <t>48,2</t>
  </si>
  <si>
    <t>21.1-10-69</t>
  </si>
  <si>
    <t>Профили стальные электросварные прямоугольного сечения трубчатые, размер 20х50 мм, толщина стенки 2,0 мм</t>
  </si>
  <si>
    <t>СН-2012-2021.21. База. Р.1, о.10, поз.69</t>
  </si>
  <si>
    <t>48,3</t>
  </si>
  <si>
    <t>21.1-10-34</t>
  </si>
  <si>
    <t>Профили стальные электросварные квадратного сечения трубчатые, размер стороны 20 мм, толщина стенки 2 мм</t>
  </si>
  <si>
    <t>СН-2012-2021.21. База. Р.1, о.10, поз.34</t>
  </si>
  <si>
    <t>49</t>
  </si>
  <si>
    <t>5.3-3203-3-1/1</t>
  </si>
  <si>
    <t>Изготовление и установка металлических стоек ограждения, масса стойки до 50 кг</t>
  </si>
  <si>
    <t>СН-2012-2021.5. База. Сб.3-3203-3-1/1</t>
  </si>
  <si>
    <t>49,1</t>
  </si>
  <si>
    <t>21.12-6-5</t>
  </si>
  <si>
    <t>Трубы стальные бесшовные холоднодеформированные из стали марок 10, 20, 30, 45, ГОСТ 8734-75, 8733-74, наружный диаметр 150 мм, толщина стенки 4мм</t>
  </si>
  <si>
    <t>СН-2012-2021.21. База. Р.12, о.6, поз.5</t>
  </si>
  <si>
    <t>49,2</t>
  </si>
  <si>
    <t>50</t>
  </si>
  <si>
    <t>51</t>
  </si>
  <si>
    <t>1.14-3203-14-7/1</t>
  </si>
  <si>
    <t>Окраска масляными составами за два раза металлических поверхностей решеток и оград</t>
  </si>
  <si>
    <t>СН-2012-2021.1. База. Сб.14-3203-14-7/1</t>
  </si>
  <si>
    <t>52</t>
  </si>
  <si>
    <t>1.14-3505-2-1/3</t>
  </si>
  <si>
    <t>Облицовка поликарбонатом ячеистым толщиной 16 мм металлических конструкций с креплением через соединительные профили, поверхность вертикальная</t>
  </si>
  <si>
    <t>СН-2012-2021.1. База. Сб.14-3505-2-1/3</t>
  </si>
  <si>
    <t>53</t>
  </si>
  <si>
    <t>1.22-3403-46-10/1</t>
  </si>
  <si>
    <t>Установка ключа или кнопки на панели (без стоимости материалов)</t>
  </si>
  <si>
    <t>СН-2012-2021.1. База. Сб.22-3403-46-10/1</t>
  </si>
  <si>
    <t>54</t>
  </si>
  <si>
    <t>1.11-3403-5-1/2</t>
  </si>
  <si>
    <t>Установка дверного доводчика - к металлическим дверям / масса 120 кг</t>
  </si>
  <si>
    <t>СН-2012-2021.1. База. Сб.11-3403-5-1/2</t>
  </si>
  <si>
    <t>55</t>
  </si>
  <si>
    <t>2.9-3103-58-2/1</t>
  </si>
  <si>
    <t>Установка аппарата управления и сигнализации, количество подключаемых концов до 6 (без стоимости основных материалов)</t>
  </si>
  <si>
    <t>СН-2012-2021.2. База. Сб.9-3103-58-2/1</t>
  </si>
  <si>
    <t>Электромагнитный замок</t>
  </si>
  <si>
    <t>Асфальт</t>
  </si>
  <si>
    <t>56</t>
  </si>
  <si>
    <t>2.1-3202-1-1/1</t>
  </si>
  <si>
    <t>Замена бортового камня бетонного во дворовых территориях</t>
  </si>
  <si>
    <t>СН-2012-2021.2. База. Сб.1-3202-1-1/1</t>
  </si>
  <si>
    <t>57</t>
  </si>
  <si>
    <t>58</t>
  </si>
  <si>
    <t>Хавская ул., д. 15 стр. 1-2</t>
  </si>
  <si>
    <t>59</t>
  </si>
  <si>
    <t>60</t>
  </si>
  <si>
    <t>61</t>
  </si>
  <si>
    <t>62</t>
  </si>
  <si>
    <t>63</t>
  </si>
  <si>
    <t>64</t>
  </si>
  <si>
    <t>64,1</t>
  </si>
  <si>
    <t>Контейнерная площадка на 4 контейнера (с дверьми)</t>
  </si>
  <si>
    <t>[50 809 / 1,2]</t>
  </si>
  <si>
    <t>Асфальт и борткамень</t>
  </si>
  <si>
    <t>Спорт площадки</t>
  </si>
  <si>
    <t>65</t>
  </si>
  <si>
    <t>5.3-3104-1-1/1</t>
  </si>
  <si>
    <t>Разборка полиуретанового покрытия игровых площадок, спортивных дорожек и площадок - на асфальтобетонном основании</t>
  </si>
  <si>
    <t>СН-2012-2021.5. База. Сб.3-3104-1-1/1</t>
  </si>
  <si>
    <t>66</t>
  </si>
  <si>
    <t>67</t>
  </si>
  <si>
    <t>67,1</t>
  </si>
  <si>
    <t>Баскетбольный щит МАФ 3510</t>
  </si>
  <si>
    <t>Мусор</t>
  </si>
  <si>
    <t>68</t>
  </si>
  <si>
    <t>1.49-9101-7-1/1</t>
  </si>
  <si>
    <t>Механизированная погрузка строительного мусора в автомобили-самосвалы</t>
  </si>
  <si>
    <t>СН-2012-2021.1. База. Сб.49-9101-7-1/1</t>
  </si>
  <si>
    <t>69</t>
  </si>
  <si>
    <t>1.49-9201-1-2/1</t>
  </si>
  <si>
    <t>Перевозка строительного мусора автосамосвалами грузоподъемностью до 10 т на расстояние 1 км - при механизированной погрузке</t>
  </si>
  <si>
    <t>СН-2012-2021.1. База. Сб.49-9201-1-2/1</t>
  </si>
  <si>
    <t>Подрядные работы, гл. 1 перевозка мусора</t>
  </si>
  <si>
    <t>70</t>
  </si>
  <si>
    <t>1.49-9201-1-3/1</t>
  </si>
  <si>
    <t>Перевозка строительного мусора автосамосвалами грузоподъемностью до 10 т - добавляется на каждый последующий 1 км до 100 км</t>
  </si>
  <si>
    <t>СН-2012-2021.1. База. Сб.49-9201-1-3/1</t>
  </si>
  <si>
    <t>)*28</t>
  </si>
  <si>
    <t>итог1</t>
  </si>
  <si>
    <t>Итого</t>
  </si>
  <si>
    <t>итог2</t>
  </si>
  <si>
    <t>НДС 20%</t>
  </si>
  <si>
    <t>итог3</t>
  </si>
  <si>
    <t>111</t>
  </si>
  <si>
    <t>Новая переменная</t>
  </si>
  <si>
    <t>Переменная_1</t>
  </si>
  <si>
    <t>Переменная_2</t>
  </si>
  <si>
    <t>Уровень цен на 01.10.2020 г</t>
  </si>
  <si>
    <t>_OBSM_</t>
  </si>
  <si>
    <t>9999990008</t>
  </si>
  <si>
    <t>Трудозатраты рабочих</t>
  </si>
  <si>
    <t>чел.-ч.</t>
  </si>
  <si>
    <t>22.1-13-21</t>
  </si>
  <si>
    <t>СН-2012-2021.22. База. п.1-13-21 (138501)</t>
  </si>
  <si>
    <t>Печи электрические для сушки сварочных материалов с регулированием температуры в пределах 80-500С</t>
  </si>
  <si>
    <t>маш.-ч</t>
  </si>
  <si>
    <t>22.1-30-46</t>
  </si>
  <si>
    <t>СН-2012-2021.22. База. п.1-30-46 (308001)</t>
  </si>
  <si>
    <t>Преобразователи частоты тока до 500 А</t>
  </si>
  <si>
    <t>22.1-30-5</t>
  </si>
  <si>
    <t>СН-2012-2021.22. База. п.1-30-5 (303601)</t>
  </si>
  <si>
    <t>Машины сверлильные ручные электрические</t>
  </si>
  <si>
    <t>22.1-4-45</t>
  </si>
  <si>
    <t>СН-2012-2021.22. База. п.1-4-45 (043403)</t>
  </si>
  <si>
    <t>Домкраты гидравлические, грузоподъемность до 100 т</t>
  </si>
  <si>
    <t>21.1-10-264</t>
  </si>
  <si>
    <t>СН-2012-2021.21. База. Р.1, о.10, поз.264</t>
  </si>
  <si>
    <t>Профили стальные оцинкованные, марка Н60-845-0,7</t>
  </si>
  <si>
    <t>21.1-11-13</t>
  </si>
  <si>
    <t>СН-2012-2021.21. База. Р.1, о.11, поз.13</t>
  </si>
  <si>
    <t>Болты строительные анкерные с гайками</t>
  </si>
  <si>
    <t>21.6-1-50</t>
  </si>
  <si>
    <t>СН-2012-2021.21. База. Р.6, о.1, поз.50</t>
  </si>
  <si>
    <t>Отдельные конструктивные элементы с преобладанием горячекатаных профилей, средняя масса сборочной единицы от 0,11 до 0,5 т</t>
  </si>
  <si>
    <t>22.1-10-5</t>
  </si>
  <si>
    <t>СН-2012-2021.22. База. п.1-10-5 (101002)</t>
  </si>
  <si>
    <t>Компрессоры с дизельным двигателем прицепные до 5 м3/мин</t>
  </si>
  <si>
    <t>22.1-30-54</t>
  </si>
  <si>
    <t>СН-2012-2021.22. База. п.1-30-54 (308901)</t>
  </si>
  <si>
    <t>Молотки отбойные</t>
  </si>
  <si>
    <t>9999990001</t>
  </si>
  <si>
    <t>Масса мусора</t>
  </si>
  <si>
    <t>22.1-30-1</t>
  </si>
  <si>
    <t>СН-2012-2021.22. База. п.1-30-1 (301201)</t>
  </si>
  <si>
    <t>Трамбовки пневматические</t>
  </si>
  <si>
    <t>21.1-12-11</t>
  </si>
  <si>
    <t>СН-2012-2021.21. База. Р.1, о.12, поз.11</t>
  </si>
  <si>
    <t>Песок для строительных работ, рядовой</t>
  </si>
  <si>
    <t>21.1-2-13</t>
  </si>
  <si>
    <t>СН-2012-2021.21. База. Р.1, о.2, поз.13</t>
  </si>
  <si>
    <t>Цемент общестроительный, портландцемент общего назначения, марка 400</t>
  </si>
  <si>
    <t>21.3-1-69</t>
  </si>
  <si>
    <t>СН-2012-2021.21. База. Р.3, о.1, поз.69</t>
  </si>
  <si>
    <t>Смеси бетонные, БСГ, тяжелого бетона на гранитном щебне, класс прочности: В15 (М200); П3, фракция 5-20, F50-100, W0-2</t>
  </si>
  <si>
    <t>21.1-12-24</t>
  </si>
  <si>
    <t>СН-2012-2021.21. База. Р.1, о.12, поз.24</t>
  </si>
  <si>
    <t>Щебень из естественного камня для строительных работ, марка 300-200, фракция 5-10 мм</t>
  </si>
  <si>
    <t>21.1-12-25</t>
  </si>
  <si>
    <t>СН-2012-2021.21. База. Р.1, о.12, поз.25</t>
  </si>
  <si>
    <t>Щебень из естественного камня для строительных работ, марка 300-200, фракция 10-20 мм</t>
  </si>
  <si>
    <t>21.1-12-27</t>
  </si>
  <si>
    <t>СН-2012-2021.21. База. Р.1, о.12, поз.27</t>
  </si>
  <si>
    <t>Щебень из естественного камня для строительных работ, марка 300-200, фракция 40-70 мм</t>
  </si>
  <si>
    <t>22.1-14-6</t>
  </si>
  <si>
    <t>СН-2012-2021.22. База. п.1-14-6 (145501)</t>
  </si>
  <si>
    <t>Агрегаты для подачи грунтовки</t>
  </si>
  <si>
    <t>21.1-1-27</t>
  </si>
  <si>
    <t>СН-2012-2021.21. База. Р.1, о.1, поз.27</t>
  </si>
  <si>
    <t>Мастика герметизирующая нетвердеющая, строительная, марка "Праймер"</t>
  </si>
  <si>
    <t>21.1-9-13</t>
  </si>
  <si>
    <t>СН-2012-2021.21. База. Р.1, о.9, поз.13</t>
  </si>
  <si>
    <t>Бруски хвойных пород обрезные, длина 2-6,5 м, сорт III, толщина 50-60 мм</t>
  </si>
  <si>
    <t>21.3-3-19</t>
  </si>
  <si>
    <t>СН-2012-2021.21. База. Р.3, о.3, поз.19</t>
  </si>
  <si>
    <t>Смеси асфальтобетонные дорожные горячие мелкозернистые, марка II, тип В</t>
  </si>
  <si>
    <t>22.1-17-168</t>
  </si>
  <si>
    <t>СН-2012-2021.22. База. п.1-17-168 (266501)</t>
  </si>
  <si>
    <t>Укладчики полимерных покрытий на игровых и спортивных площадках, производительность 10-50 м2/ч</t>
  </si>
  <si>
    <t>22.1-30-102</t>
  </si>
  <si>
    <t>СН-2012-2021.22. База. п.1-30-102 (303704)</t>
  </si>
  <si>
    <t>Дрели электрические, двухскоростные, мощностью 600 Вт</t>
  </si>
  <si>
    <t>22.1-4-8</t>
  </si>
  <si>
    <t>СН-2012-2021.22. База. п.1-4-8 (040201)</t>
  </si>
  <si>
    <t>Погрузчики на автомобильном ходу, грузоподъемность до 1 т</t>
  </si>
  <si>
    <t>22.1-6-68</t>
  </si>
  <si>
    <t>СН-2012-2021.22. База. п.1-6-68 (067203)</t>
  </si>
  <si>
    <t>Растворосмесители стационарные, емкость до 250 л</t>
  </si>
  <si>
    <t>21.1-25-255</t>
  </si>
  <si>
    <t>СН-2012-2021.21. База. Р.1, о.25, поз.255</t>
  </si>
  <si>
    <t>Пленка полиэтиленовая, толщина 0,12 - 0,15 мм</t>
  </si>
  <si>
    <t>21.1-25-343</t>
  </si>
  <si>
    <t>СН-2012-2021.21. База. Р.1, о.25, поз.343</t>
  </si>
  <si>
    <t>Скипидар живичный</t>
  </si>
  <si>
    <t>21.1-25-769</t>
  </si>
  <si>
    <t>СН-2012-2021.21. База. Р.1, о.25, поз.769</t>
  </si>
  <si>
    <t>Крошка резиновая гранулированная, фракция 2-3 мм</t>
  </si>
  <si>
    <t>кг</t>
  </si>
  <si>
    <t>21.1-25-776</t>
  </si>
  <si>
    <t>СН-2012-2021.21. База. Р.1, о.25, поз.776</t>
  </si>
  <si>
    <t>Средство связующее универсальное полиуретановое на основе резиновой и каучуковой крошки для устройства высокопрочных эластичных покрытий</t>
  </si>
  <si>
    <t>21.1-6-101</t>
  </si>
  <si>
    <t>СН-2012-2021.21. База. Р.1, о.6, поз.101</t>
  </si>
  <si>
    <t>Пигменты сухие для красок, кислотный желтый</t>
  </si>
  <si>
    <t>22.1-6-51</t>
  </si>
  <si>
    <t>СН-2012-2021.22. База. п.1-6-51 (069401)</t>
  </si>
  <si>
    <t>Вибраторы поверхностные</t>
  </si>
  <si>
    <t>21.1-20-17</t>
  </si>
  <si>
    <t>СН-2012-2021.21. База. Р.1, о.20, поз.17</t>
  </si>
  <si>
    <t>Мешковина</t>
  </si>
  <si>
    <t>21.1-25-13</t>
  </si>
  <si>
    <t>СН-2012-2021.21. База. Р.1, о.25, поз.13</t>
  </si>
  <si>
    <t>Вода</t>
  </si>
  <si>
    <t>21.3-1-64</t>
  </si>
  <si>
    <t>СН-2012-2021.21. База. Р.3, о.1, поз.64</t>
  </si>
  <si>
    <t>Смеси бетонные, БСГ, тяжелого бетона на гранитном щебне, класс прочности: В7,5 (М100); П3, фракция 5-20</t>
  </si>
  <si>
    <t>22.1-13-14</t>
  </si>
  <si>
    <t>СН-2012-2021.22. База. п.1-13-14 (136001)</t>
  </si>
  <si>
    <t>Установки для сварки ручной дуговой (постоянного тока)</t>
  </si>
  <si>
    <t>21.1-23-9</t>
  </si>
  <si>
    <t>СН-2012-2021.21. База. Р.1, о.23, поз.9</t>
  </si>
  <si>
    <t>Электроды, тип Э-42, 46, 50, диаметр 4 - 6 мм</t>
  </si>
  <si>
    <t>22.1-13-16</t>
  </si>
  <si>
    <t>СН-2012-2021.22. База. п.1-13-16 (136301)</t>
  </si>
  <si>
    <t>Аппараты для газовой сварки и резки</t>
  </si>
  <si>
    <t>22.1-30-19</t>
  </si>
  <si>
    <t>СН-2012-2021.22. База. п.1-30-19 (305001)</t>
  </si>
  <si>
    <t>Машины шлифовальные электрические</t>
  </si>
  <si>
    <t>22.1-30-37</t>
  </si>
  <si>
    <t>СН-2012-2021.22. База. п.1-30-37 (307101)</t>
  </si>
  <si>
    <t>Станки сверлильные</t>
  </si>
  <si>
    <t>22.1-30-64</t>
  </si>
  <si>
    <t>СН-2012-2021.22. База. п.1-30-64 (331001)</t>
  </si>
  <si>
    <t>Пресс-ножницы комбинированные</t>
  </si>
  <si>
    <t>21.1-4-10</t>
  </si>
  <si>
    <t>СН-2012-2021.21. База. Р.1, о.4, поз.10</t>
  </si>
  <si>
    <t>Кислород технический газообразный</t>
  </si>
  <si>
    <t>21.1-4-31</t>
  </si>
  <si>
    <t>СН-2012-2021.21. База. Р.1, о.4, поз.31</t>
  </si>
  <si>
    <t>Пропан-бутан газообразный</t>
  </si>
  <si>
    <t>21.3-4-28</t>
  </si>
  <si>
    <t>СН-2012-2021.21. База. Р.3, о.4, поз.28</t>
  </si>
  <si>
    <t>Арматурные заготовки (стержни, хомуты и т.п.), не собранные в каркасы или сетки, углеродистая сталь общего назначения (жесткая арматура), профильная</t>
  </si>
  <si>
    <t>22.1-4-31</t>
  </si>
  <si>
    <t>СН-2012-2021.22. База. п.1-4-31 (042903)</t>
  </si>
  <si>
    <t>Лебедки электрические, грузоподъемность до 1,5 т</t>
  </si>
  <si>
    <t>21.1-11-21</t>
  </si>
  <si>
    <t>СН-2012-2021.21. База. Р.1, о.11, поз.21</t>
  </si>
  <si>
    <t>Болты строительные черные с гайками и шайбами (10х100мм)</t>
  </si>
  <si>
    <t>21.6-1-52</t>
  </si>
  <si>
    <t>СН-2012-2021.21. База. Р.6, о.1, поз.52</t>
  </si>
  <si>
    <t>Отдельные конструктивные элементы с преобладанием горячекатаных профилей, средняя масса сборочной единицы от 0,51 до 1,0 т</t>
  </si>
  <si>
    <t>21.1-6-46</t>
  </si>
  <si>
    <t>СН-2012-2021.21. База. Р.1, о.6, поз.46</t>
  </si>
  <si>
    <t>Краски масляные жидкотертые цветные (готовые к употреблению) для наружных и внутренних работ, марка МА-15, сурик железный для окраски по металлу</t>
  </si>
  <si>
    <t>21.1-6-90</t>
  </si>
  <si>
    <t>СН-2012-2021.21. База. Р.1, о.6, поз.90</t>
  </si>
  <si>
    <t>Олифа для окраски комбинированная "Оксоль"</t>
  </si>
  <si>
    <t>22.1-30-33</t>
  </si>
  <si>
    <t>СН-2012-2021.22. База. п.1-30-33 (306701)</t>
  </si>
  <si>
    <t>Лобзики электрические</t>
  </si>
  <si>
    <t>22.1-30-56</t>
  </si>
  <si>
    <t>СН-2012-2021.22. База. п.1-30-56 (309101)</t>
  </si>
  <si>
    <t>Шуруповерты</t>
  </si>
  <si>
    <t>21.1-15-275</t>
  </si>
  <si>
    <t>СН-2012-2021.21. База. Р.1, о.15, поз.275</t>
  </si>
  <si>
    <t>Ленты герметизирующие алюминиевые самоклеящиеся для сотового поликарбоната толщиной 8 мм, ширина 25 мм, сплошные</t>
  </si>
  <si>
    <t>21.1-15-276</t>
  </si>
  <si>
    <t>СН-2012-2021.21. База. Р.1, о.15, поз.276</t>
  </si>
  <si>
    <t>Ленты герметизирующие алюминиевые самоклеящиеся для сотового поликарбоната толщиной  8 мм, ширина 25 мм, перфорированные</t>
  </si>
  <si>
    <t>21.1-25-1002</t>
  </si>
  <si>
    <t>СН-2012-2021.21. База. Р.1, о.25, поз.1002</t>
  </si>
  <si>
    <t>Пластик поликарбонатный ячеистый для остекления, толщина 10 мм</t>
  </si>
  <si>
    <t>21.1-25-1004</t>
  </si>
  <si>
    <t>СН-2012-2021.21. База. Р.1, о.25, поз.1004</t>
  </si>
  <si>
    <t>Профили поликарбонатные торцевые для сотового поликарбоната толщиной 10 мм</t>
  </si>
  <si>
    <t>21.1-25-691</t>
  </si>
  <si>
    <t>СН-2012-2021.21. База. Р.1, о.25, поз.691</t>
  </si>
  <si>
    <t>Термошайбы поликарбонатные для крепления поликарбоната к металлическим конструкциям</t>
  </si>
  <si>
    <t>100 шт.</t>
  </si>
  <si>
    <t>21.1-25-694</t>
  </si>
  <si>
    <t>СН-2012-2021.21. База. Р.1, о.25, поз.694</t>
  </si>
  <si>
    <t>Прокладки резиновые уплотнительные для профилей алюминиевых, ширина 13,5 мм</t>
  </si>
  <si>
    <t>21.1-25-695</t>
  </si>
  <si>
    <t>СН-2012-2021.21. База. Р.1, о.25, поз.695</t>
  </si>
  <si>
    <t>Прокладки резиновые уплотнительные для профилей алюминиевых, ширина 60 мм</t>
  </si>
  <si>
    <t>21.7-1-1</t>
  </si>
  <si>
    <t>СН-2012-2021.21. База. Р.7, о.1, поз.1</t>
  </si>
  <si>
    <t>Винты самонарезающие оцинкованные 5х20 мм</t>
  </si>
  <si>
    <t>21.7-12-3</t>
  </si>
  <si>
    <t>СН-2012-2021.21. База. Р.7, о.12, поз.3</t>
  </si>
  <si>
    <t>Профили алюминиевые системы AGS 150, ширина 51 мм, крышки</t>
  </si>
  <si>
    <t>21.7-12-4</t>
  </si>
  <si>
    <t>СН-2012-2021.21. База. Р.7, о.12, поз.4</t>
  </si>
  <si>
    <t>Профили алюминиевые системы AGS 150, ширина 49 мм, прижимы</t>
  </si>
  <si>
    <t>21.6-1-49</t>
  </si>
  <si>
    <t>СН-2012-2021.21. База. Р.6, о.1, поз.49</t>
  </si>
  <si>
    <t>Отдельные конструктивные элементы с преобладанием горячекатаных профилей, средняя масса сборочной единицы до 0,05 т</t>
  </si>
  <si>
    <t>22.1-30-106</t>
  </si>
  <si>
    <t>СН-2012-2020.22. База. п.1-30-106 (304105)</t>
  </si>
  <si>
    <t>Перфораторы электрические, мощность 1300 Вт, диаметр сверления до 45 мм</t>
  </si>
  <si>
    <t>СН-2012-2020.22. База. п.1-30-56 (309101)</t>
  </si>
  <si>
    <t>22.1-30-79</t>
  </si>
  <si>
    <t>СН-2012-2020.22. База. п.1-30-79 (309301)</t>
  </si>
  <si>
    <t>Машины отрезные, диаметр диска 230 мм</t>
  </si>
  <si>
    <t>22.1-10-4</t>
  </si>
  <si>
    <t>СН-2012-2020.22. База. п.1-10-4 (101001)</t>
  </si>
  <si>
    <t>Компрессоры с дизельным двигателем прицепные до 2,5 м3/мин</t>
  </si>
  <si>
    <t>СН-2012-2020.22. База. п.1-30-54 (308901)</t>
  </si>
  <si>
    <t>22.1-13-15</t>
  </si>
  <si>
    <t>СН-2012-2021.22. База. п.1-13-15 (136201)</t>
  </si>
  <si>
    <t>Аппараты сварочные</t>
  </si>
  <si>
    <t>22.1-30-43</t>
  </si>
  <si>
    <t>СН-2012-2021.22. База. п.1-30-43 (307501)</t>
  </si>
  <si>
    <t>Станки трубоотрезные</t>
  </si>
  <si>
    <t>21.1-10-171</t>
  </si>
  <si>
    <t>СН-2012-2021.21. База. Р.1, о.10, поз.171</t>
  </si>
  <si>
    <t>Сталь полосовая, марка Ст1кп-Ст4кп, Ст1пс-Ст6пс, Ст1Гпс-Ст5Гпс, кипящая и полуспокойная,</t>
  </si>
  <si>
    <t>21.7-3-6</t>
  </si>
  <si>
    <t>СН-2012-2021.21. База. Р.7, о.3, поз.6</t>
  </si>
  <si>
    <t>Диск отрезной абразивный для резки по металлу, диаметр 125 мм</t>
  </si>
  <si>
    <t>22.1-6-21</t>
  </si>
  <si>
    <t>СН-2012-2021.22. База. п.1-6-21 (066701)</t>
  </si>
  <si>
    <t>Бетоносмесители передвижные, емкость до 5 м3</t>
  </si>
  <si>
    <t>22.1-6-52</t>
  </si>
  <si>
    <t>СН-2012-2021.22. База. п.1-6-52 (069402)</t>
  </si>
  <si>
    <t>Вибраторы глубинные</t>
  </si>
  <si>
    <t>22.1-9-1</t>
  </si>
  <si>
    <t>СН-2012-2021.22. База. п.1-9-1 (090101)</t>
  </si>
  <si>
    <t>Машины бурильно-крановые на базе трактора, глубина бурения до 5 м</t>
  </si>
  <si>
    <t>21.1-10-188</t>
  </si>
  <si>
    <t>СН-2012-2021.21. База. Р.1, о.10, поз.188</t>
  </si>
  <si>
    <t>Сталь тонколистовая, толщина до 4 мм, общего назначения, марка БСт1кп-БСт4кп, Ст1пс-Ст5пс, Ст3Гпс-Ст5Гпс</t>
  </si>
  <si>
    <t>21.1-12-30</t>
  </si>
  <si>
    <t>СН-2012-2021.21. База. Р.1, о.12, поз.30</t>
  </si>
  <si>
    <t>Щебень из естественного камня для строительных работ, марка 600-400, фракция 10-20 мм</t>
  </si>
  <si>
    <t>21.1-6-44</t>
  </si>
  <si>
    <t>СН-2012-2021.21. База. Р.1, о.6, поз.44</t>
  </si>
  <si>
    <t>Краски масляные жидкотертые цветные (готовые к употреблению) для наружных и внутренних работ, марка МА-15</t>
  </si>
  <si>
    <t>21.1-25-1000</t>
  </si>
  <si>
    <t>СН-2012-2021.21. База. Р.1, о.25, поз.1000</t>
  </si>
  <si>
    <t>Пластик поликарбонатный ячеистый для остекления, толщина 16 мм</t>
  </si>
  <si>
    <t>21.1-25-1005</t>
  </si>
  <si>
    <t>СН-2012-2021.21. База. Р.1, о.25, поз.1005</t>
  </si>
  <si>
    <t>Профили поликарбонатные торцевые для сотового поликарбоната толщиной 16 мм</t>
  </si>
  <si>
    <t>21.1-11-29</t>
  </si>
  <si>
    <t>СН-2012-2021.21. База. Р.1, о.11, поз.29</t>
  </si>
  <si>
    <t>Винты самонарезающие 5х40 мм для металла</t>
  </si>
  <si>
    <t>21.8-1-41</t>
  </si>
  <si>
    <t>СН-2012-2021.21. База. Р.8, о.1, поз.41</t>
  </si>
  <si>
    <t>Доводчики дверные, марка "ДОРМА TS/92", масса двери до 120 кг</t>
  </si>
  <si>
    <t>21.21-5-2</t>
  </si>
  <si>
    <t>СН-2012-2021.21. База. Р.21, о.5, поз.2</t>
  </si>
  <si>
    <t>Бирки маркировочные для кабелей и проводов, тип У153 У3,5</t>
  </si>
  <si>
    <t>1000 шт.</t>
  </si>
  <si>
    <t>СН-2012-2021.22. База. п.1-10-4 (101001)</t>
  </si>
  <si>
    <t>22.1-18-27</t>
  </si>
  <si>
    <t>СН-2012-2021.22. База. п.1-18-27 (183301)</t>
  </si>
  <si>
    <t>Автомобили грузовые для аварийно-ремонтных работ, грузоподъемность до 7 т</t>
  </si>
  <si>
    <t>22.1-4-1</t>
  </si>
  <si>
    <t>СН-2012-2021.22. База. п.1-4-1 (040101)</t>
  </si>
  <si>
    <t>Погрузчики универсальные на пневмоколесном ходу, грузоподъемность до 1 т</t>
  </si>
  <si>
    <t>21.3-1-36</t>
  </si>
  <si>
    <t>СН-2012-2021.21. База. Р.3, о.1, поз.36</t>
  </si>
  <si>
    <t>Смеси бетонные, БСГ, тяжелого бетона на гранитном щебне фракция 20-40 для инженерных коммуникаций и дорог, класс прочности: В15 (М200); П1, F100, W2</t>
  </si>
  <si>
    <t>21.3-2-15</t>
  </si>
  <si>
    <t>СН-2012-2021.21. База. Р.3, о.2, поз.15</t>
  </si>
  <si>
    <t>Растворы цементные, марка 100</t>
  </si>
  <si>
    <t>21.5-3-13</t>
  </si>
  <si>
    <t>СН-2012-2021.21. База. Р.5, о.3, поз.13</t>
  </si>
  <si>
    <t>Камни бетонные бортовые, марка БР 100.30.15</t>
  </si>
  <si>
    <t>22.1-1-5</t>
  </si>
  <si>
    <t>СН-2012-2021.22. База. п.1-1-5 (010109)</t>
  </si>
  <si>
    <t>Экскаваторы на гусеничном ходу гидравлические, объем ковша до 0,65 м3</t>
  </si>
  <si>
    <t>22.1-18-12</t>
  </si>
  <si>
    <t>СН-2012-2021.22. База. п.1-18-12 (184001)</t>
  </si>
  <si>
    <t>Автомобили-самосвалы, грузоподъемность до 7 т</t>
  </si>
  <si>
    <t>22.1-18-13</t>
  </si>
  <si>
    <t>СН-2012-2021.22. База. п.1-18-13 (184002)</t>
  </si>
  <si>
    <t>Автомобили-самосвалы, грузоподъемность до 10 т</t>
  </si>
  <si>
    <t>Поправка: СН-2012 О.П. п.22  Наименование: Демонтаж, разборка отдельных бетонных, железобетонных, металлических, деревянных, пластмассовых конструктивных элементов зданий и сооружений, внутренних и наружных инженерных систем и коммуникаций при отсутствии необходимых стоимостных нормативов в сборниках СН-2012</t>
  </si>
  <si>
    <t>"СОГЛАСОВАНО"</t>
  </si>
  <si>
    <t>"УТВЕРЖДАЮ"</t>
  </si>
  <si>
    <t>Форма № 1а (глава 1-5)</t>
  </si>
  <si>
    <t>(локальный сметный расчет)</t>
  </si>
  <si>
    <t>(наименование работ и затрат, наименование объекта)</t>
  </si>
  <si>
    <t>Сметная стоимость</t>
  </si>
  <si>
    <t>тыс.руб</t>
  </si>
  <si>
    <t>Монтажные работы</t>
  </si>
  <si>
    <t>Оборудование</t>
  </si>
  <si>
    <t>Прочие работы</t>
  </si>
  <si>
    <t>Средства на оплату труда</t>
  </si>
  <si>
    <t>№№ п/п</t>
  </si>
  <si>
    <t>Шифр расценки и коды ресурсов</t>
  </si>
  <si>
    <t>Наименование работ и затрат</t>
  </si>
  <si>
    <t>Единица измерения</t>
  </si>
  <si>
    <t>Кол-во единиц</t>
  </si>
  <si>
    <t>Цена на ед. изм. руб.</t>
  </si>
  <si>
    <t>Попра-вочные коэфф.</t>
  </si>
  <si>
    <t>Коэфф. зимних удоро-жаний</t>
  </si>
  <si>
    <t>Коэфф. пересчета</t>
  </si>
  <si>
    <t>ВСЕГО затрат, руб.</t>
  </si>
  <si>
    <t>Справочно</t>
  </si>
  <si>
    <t>ЗТР, всего чел.-час</t>
  </si>
  <si>
    <t>Ст-ть ед. с начислен.</t>
  </si>
  <si>
    <t>Составлен(а) в уровне текущих (прогнозных) цен октябрь 2020 года</t>
  </si>
  <si>
    <r>
      <t>1.7-3203-11-1/1</t>
    </r>
    <r>
      <rPr>
        <i/>
        <sz val="10"/>
        <rFont val="Arial"/>
        <family val="2"/>
        <charset val="204"/>
      </rPr>
      <t xml:space="preserve">
Поправка: СН-2012 О.П. п.22</t>
    </r>
  </si>
  <si>
    <r>
      <t>Монтаж кровельного покрытия из профилированного листа при высоте здания до 25 м</t>
    </r>
    <r>
      <rPr>
        <i/>
        <sz val="10"/>
        <rFont val="Arial"/>
        <family val="2"/>
        <charset val="204"/>
      </rPr>
      <t xml:space="preserve">
Поправка: СН-2012 О.П. п.22  Наименование: Демонтаж, разборка отдельных бетонных, железобетонных, металлических, деревянных, пластмассовых конструктивных элементов зданий и сооружений, внутренних и наружных инженерных систем и коммуникаций при отсутствии необходимых стоимостных нормативов в сборниках СН-2012</t>
    </r>
  </si>
  <si>
    <t>ЗП</t>
  </si>
  <si>
    <t>ЭМ</t>
  </si>
  <si>
    <t>в т.ч. ЗПМ</t>
  </si>
  <si>
    <t>НР от ЗП</t>
  </si>
  <si>
    <t>%</t>
  </si>
  <si>
    <t>СП от ЗП</t>
  </si>
  <si>
    <t>НР и СП от ЗПМ</t>
  </si>
  <si>
    <t>ЗТР</t>
  </si>
  <si>
    <t>чел-ч</t>
  </si>
  <si>
    <t>МР</t>
  </si>
  <si>
    <r>
      <t>1.50-3203-37-3/1</t>
    </r>
    <r>
      <rPr>
        <i/>
        <sz val="10"/>
        <rFont val="Arial"/>
        <family val="2"/>
        <charset val="204"/>
      </rPr>
      <t xml:space="preserve">
Поправка: СН-2012 О.П. п.22</t>
    </r>
  </si>
  <si>
    <r>
      <t>Монтаж мелких конструкций из стали различного профиля массой до 100 кг</t>
    </r>
    <r>
      <rPr>
        <i/>
        <sz val="10"/>
        <rFont val="Arial"/>
        <family val="2"/>
        <charset val="204"/>
      </rPr>
      <t xml:space="preserve">
Поправка: СН-2012 О.П. п.22  Наименование: Демонтаж, разборка отдельных бетонных, железобетонных, металлических, деревянных, пластмассовых конструктивных элементов зданий и сооружений, внутренних и наружных инженерных систем и коммуникаций при отсутствии необходимых стоимостных нормативов в сборниках СН-2012</t>
    </r>
  </si>
  <si>
    <r>
      <t>1500-3 Песочница 1,5х1,5х0,65 м</t>
    </r>
    <r>
      <rPr>
        <i/>
        <sz val="10"/>
        <rFont val="Arial"/>
        <family val="2"/>
        <charset val="204"/>
      </rPr>
      <t xml:space="preserve">
Базисная стоимость: 12 083,33 = [14 500 / 1,2]</t>
    </r>
  </si>
  <si>
    <r>
      <t>4404 Паровозик Тип 4</t>
    </r>
    <r>
      <rPr>
        <i/>
        <sz val="10"/>
        <rFont val="Arial"/>
        <family val="2"/>
        <charset val="204"/>
      </rPr>
      <t xml:space="preserve">
Базисная стоимость: 97 708,33 = [117 250 / 1,2]</t>
    </r>
  </si>
  <si>
    <r>
      <t>4702 Игровая панель Часы 0,9х1,0 м</t>
    </r>
    <r>
      <rPr>
        <i/>
        <sz val="10"/>
        <rFont val="Arial"/>
        <family val="2"/>
        <charset val="204"/>
      </rPr>
      <t xml:space="preserve">
Базисная стоимость: 7 083,33 = [8 500 / 1,2]</t>
    </r>
  </si>
  <si>
    <r>
      <t>4704 Жираф с баскетбольным щитом 1,4х1,0х2,5 м</t>
    </r>
    <r>
      <rPr>
        <i/>
        <sz val="10"/>
        <rFont val="Arial"/>
        <family val="2"/>
        <charset val="204"/>
      </rPr>
      <t xml:space="preserve">
Базисная стоимость: 29 291,67 = [35 150 / 1,2]</t>
    </r>
  </si>
  <si>
    <r>
      <t>1210-3 Качалка на пружине 0,84х0,5х0,95 м</t>
    </r>
    <r>
      <rPr>
        <i/>
        <sz val="10"/>
        <rFont val="Arial"/>
        <family val="2"/>
        <charset val="204"/>
      </rPr>
      <t xml:space="preserve">
Базисная стоимость: 15 000,00 = [18 000 / 1,2]</t>
    </r>
  </si>
  <si>
    <r>
      <t>1210-4 Качалка на пружине 0,76х0,5х0,8 м</t>
    </r>
    <r>
      <rPr>
        <i/>
        <sz val="10"/>
        <rFont val="Arial"/>
        <family val="2"/>
        <charset val="204"/>
      </rPr>
      <t xml:space="preserve">
Базисная стоимость: 15 000,00 = [18 000 / 1,2]</t>
    </r>
  </si>
  <si>
    <r>
      <t>1210-6 Качалка на пружине 0,75х0,51х0,96 м</t>
    </r>
    <r>
      <rPr>
        <i/>
        <sz val="10"/>
        <rFont val="Arial"/>
        <family val="2"/>
        <charset val="204"/>
      </rPr>
      <t xml:space="preserve">
Базисная стоимость: 15 750,00 = [18 900 / 1,2]</t>
    </r>
  </si>
  <si>
    <r>
      <t>1240-2 Качалка на пружине 1,15х0,9х1,0</t>
    </r>
    <r>
      <rPr>
        <i/>
        <sz val="10"/>
        <rFont val="Arial"/>
        <family val="2"/>
        <charset val="204"/>
      </rPr>
      <t xml:space="preserve">
Базисная стоимость: 23 750,00 = [28 500 / 1,2]</t>
    </r>
  </si>
  <si>
    <r>
      <t>1621 Лавочка Автомобиль 1,5х0,6х1,0 м</t>
    </r>
    <r>
      <rPr>
        <i/>
        <sz val="10"/>
        <rFont val="Arial"/>
        <family val="2"/>
        <charset val="204"/>
      </rPr>
      <t xml:space="preserve">
Базисная стоимость: 10 375,00 = [12 450 / 1,2]</t>
    </r>
  </si>
  <si>
    <r>
      <t>1622 Лавочка Карета 1,5х0,6х1,0 м</t>
    </r>
    <r>
      <rPr>
        <i/>
        <sz val="10"/>
        <rFont val="Arial"/>
        <family val="2"/>
        <charset val="204"/>
      </rPr>
      <t xml:space="preserve">
Базисная стоимость: 10 375,00 = [12 450 / 1,2]</t>
    </r>
  </si>
  <si>
    <r>
      <t>1625 Лавочка Медвежонок 1,2х0,42х0,92 м</t>
    </r>
    <r>
      <rPr>
        <i/>
        <sz val="10"/>
        <rFont val="Arial"/>
        <family val="2"/>
        <charset val="204"/>
      </rPr>
      <t xml:space="preserve">
Базисная стоимость: 6 208,33 = [7 450 / 1,2]</t>
    </r>
  </si>
  <si>
    <r>
      <t>1626 Лавочка Касатка 1,2х0,42х0,95 м</t>
    </r>
    <r>
      <rPr>
        <i/>
        <sz val="10"/>
        <rFont val="Arial"/>
        <family val="2"/>
        <charset val="204"/>
      </rPr>
      <t xml:space="preserve">
Базисная стоимость: 6 208,33 = [7 450 / 1,2]</t>
    </r>
  </si>
  <si>
    <r>
      <t>4001 Стол со стульчиками 1,2х1,2х0,6 м</t>
    </r>
    <r>
      <rPr>
        <i/>
        <sz val="10"/>
        <rFont val="Arial"/>
        <family val="2"/>
        <charset val="204"/>
      </rPr>
      <t xml:space="preserve">
Базисная стоимость: 10 625,00 = [12 750 / 1,2]</t>
    </r>
  </si>
  <si>
    <r>
      <t>4102 Домик Тип 2 1,5х1,4х1,6 м</t>
    </r>
    <r>
      <rPr>
        <i/>
        <sz val="10"/>
        <rFont val="Arial"/>
        <family val="2"/>
        <charset val="204"/>
      </rPr>
      <t xml:space="preserve">
Базисная стоимость: 33 250,00 = [39 900 / 1,2]</t>
    </r>
  </si>
  <si>
    <r>
      <t>4104-1 Домик Тип 4 1,1х1,0х2,0 м</t>
    </r>
    <r>
      <rPr>
        <i/>
        <sz val="10"/>
        <rFont val="Arial"/>
        <family val="2"/>
        <charset val="204"/>
      </rPr>
      <t xml:space="preserve">
Базисная стоимость: 29 916,67 = [35 900 / 1,2]</t>
    </r>
  </si>
  <si>
    <r>
      <t>4104-4 Домик Тип 4 1,4х1,4х2,5 м</t>
    </r>
    <r>
      <rPr>
        <i/>
        <sz val="10"/>
        <rFont val="Arial"/>
        <family val="2"/>
        <charset val="204"/>
      </rPr>
      <t xml:space="preserve">
Базисная стоимость: 33 125,00 = [39 750 / 1,2]</t>
    </r>
  </si>
  <si>
    <r>
      <t>4104-2 Домик Тип 4 1,0х1,0х1,75 м</t>
    </r>
    <r>
      <rPr>
        <i/>
        <sz val="10"/>
        <rFont val="Arial"/>
        <family val="2"/>
        <charset val="204"/>
      </rPr>
      <t xml:space="preserve">
Базисная стоимость: 28 541,67 = [34 250 / 1,2]</t>
    </r>
  </si>
  <si>
    <r>
      <t>6006 Стенд 1,18х0,45х2,0 м</t>
    </r>
    <r>
      <rPr>
        <i/>
        <sz val="10"/>
        <rFont val="Arial"/>
        <family val="2"/>
        <charset val="204"/>
      </rPr>
      <t xml:space="preserve">
Базисная стоимость: 10 416,67 = [12 500 / 1,2]</t>
    </r>
  </si>
  <si>
    <r>
      <t>6002 Велопарковка Тип 2 2,9х1,0х1,0 м</t>
    </r>
    <r>
      <rPr>
        <i/>
        <sz val="10"/>
        <rFont val="Arial"/>
        <family val="2"/>
        <charset val="204"/>
      </rPr>
      <t xml:space="preserve">
Базисная стоимость: 10 416,67 = [12 500 / 1,2]</t>
    </r>
  </si>
  <si>
    <r>
      <t>3513 Футбольные ворота (без сетки) 3,0х1,04х2,0 м</t>
    </r>
    <r>
      <rPr>
        <i/>
        <sz val="10"/>
        <rFont val="Arial"/>
        <family val="2"/>
        <charset val="204"/>
      </rPr>
      <t xml:space="preserve">
Базисная стоимость: 11 458,33 = [13 750 / 1,2]</t>
    </r>
  </si>
  <si>
    <r>
      <t>1.50-3203-37-2/1</t>
    </r>
    <r>
      <rPr>
        <i/>
        <sz val="10"/>
        <rFont val="Arial"/>
        <family val="2"/>
        <charset val="204"/>
      </rPr>
      <t xml:space="preserve">
Поправка: СН-2012 О.П. п.22</t>
    </r>
  </si>
  <si>
    <r>
      <t>Монтаж мелких конструкций из стали различного профиля массой до 50 кг</t>
    </r>
    <r>
      <rPr>
        <i/>
        <sz val="10"/>
        <rFont val="Arial"/>
        <family val="2"/>
        <charset val="204"/>
      </rPr>
      <t xml:space="preserve">
Поправка: СН-2012 О.П. п.22  Наименование: Демонтаж, разборка отдельных бетонных, железобетонных, металлических, деревянных, пластмассовых конструктивных элементов зданий и сооружений, внутренних и наружных инженерных систем и коммуникаций при отсутствии необходимых стоимостных нормативов в сборниках СН-2012</t>
    </r>
  </si>
  <si>
    <r>
      <t>Контейнерная площадка на 3 контейнера (с дверьми)</t>
    </r>
    <r>
      <rPr>
        <i/>
        <sz val="10"/>
        <rFont val="Arial"/>
        <family val="2"/>
        <charset val="204"/>
      </rPr>
      <t xml:space="preserve">
Базисная стоимость: 35 285,00 = [42 342 / 1,2]</t>
    </r>
  </si>
  <si>
    <r>
      <t>Контейнерная площадка на 4 контейнера (с дверьми)</t>
    </r>
    <r>
      <rPr>
        <i/>
        <sz val="10"/>
        <rFont val="Arial"/>
        <family val="2"/>
        <charset val="204"/>
      </rPr>
      <t xml:space="preserve">
Базисная стоимость: 42 340,83 = [50 809 / 1,2]</t>
    </r>
  </si>
  <si>
    <r>
      <t>Баскетбольный щит МАФ 3510</t>
    </r>
    <r>
      <rPr>
        <i/>
        <sz val="10"/>
        <rFont val="Arial"/>
        <family val="2"/>
        <charset val="204"/>
      </rPr>
      <t xml:space="preserve">
Базисная стоимость: 10 625,00 = [12 750 / 1,2]</t>
    </r>
  </si>
  <si>
    <t xml:space="preserve">Составил   </t>
  </si>
  <si>
    <t>[должность,подпись(инициалы,фамилия)]</t>
  </si>
  <si>
    <t xml:space="preserve">Проверил   </t>
  </si>
  <si>
    <t>___________________________</t>
  </si>
  <si>
    <t>" ___ " ___________ 20 ___ г.</t>
  </si>
  <si>
    <t>№ п/п</t>
  </si>
  <si>
    <t>Количество</t>
  </si>
  <si>
    <t>Примечание</t>
  </si>
  <si>
    <t>Заказчик _________________</t>
  </si>
  <si>
    <t>Подрядчик _________________</t>
  </si>
  <si>
    <t>TYPE</t>
  </si>
  <si>
    <t>SOURCE_LINK</t>
  </si>
  <si>
    <t>RABMAT_EX</t>
  </si>
  <si>
    <t>TIP_RAB</t>
  </si>
  <si>
    <t>TYPE_TRUD</t>
  </si>
  <si>
    <t>TAB</t>
  </si>
  <si>
    <t>NAME</t>
  </si>
  <si>
    <t>EDIZM</t>
  </si>
  <si>
    <t>KOLL</t>
  </si>
  <si>
    <t>UCH</t>
  </si>
  <si>
    <t>PRICE_B</t>
  </si>
  <si>
    <t>PRICE_ED</t>
  </si>
  <si>
    <t>STOIM_B</t>
  </si>
  <si>
    <t>PRICE_C</t>
  </si>
  <si>
    <t>STOIM_C</t>
  </si>
  <si>
    <t>ZPM_B</t>
  </si>
  <si>
    <t>ZPM_ED</t>
  </si>
  <si>
    <t>STOIM_ZPM_B</t>
  </si>
  <si>
    <t>ZPM_C</t>
  </si>
  <si>
    <t>STOIM_ZPM_C</t>
  </si>
  <si>
    <t>CRC_GR_RES</t>
  </si>
  <si>
    <t>CRC_B</t>
  </si>
  <si>
    <t>CRC_C</t>
  </si>
  <si>
    <t>RABMAT</t>
  </si>
  <si>
    <t>BuildingFinished</t>
  </si>
  <si>
    <t>Trud</t>
  </si>
  <si>
    <t>Mash</t>
  </si>
  <si>
    <t>Mat</t>
  </si>
  <si>
    <t>MatZak</t>
  </si>
  <si>
    <t>Oborud</t>
  </si>
  <si>
    <t>OborudZak</t>
  </si>
  <si>
    <t>ZeroStoim</t>
  </si>
  <si>
    <t>NegativeKoll</t>
  </si>
  <si>
    <t>ReUnionKollResurcy</t>
  </si>
  <si>
    <t>UnionOneUchRes</t>
  </si>
  <si>
    <t>IdLevel</t>
  </si>
  <si>
    <t>Ресурсная ведомость на</t>
  </si>
  <si>
    <t>Обоснование</t>
  </si>
  <si>
    <t>Наименование</t>
  </si>
  <si>
    <t>Объем</t>
  </si>
  <si>
    <t>Базовая</t>
  </si>
  <si>
    <t>цена</t>
  </si>
  <si>
    <t>стоимость</t>
  </si>
  <si>
    <t xml:space="preserve">Машины и механизмы </t>
  </si>
  <si>
    <t xml:space="preserve">Итого машины и механизмы </t>
  </si>
  <si>
    <t xml:space="preserve">Материальные ресурсы </t>
  </si>
  <si>
    <t xml:space="preserve">Итого материальные ресурсы </t>
  </si>
  <si>
    <t>Выполнение работ по проведению ремонта прилегающей территории для нужд ГБОУ Школа № 630</t>
  </si>
  <si>
    <t>"_____"________________ 20_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</si>
</sst>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"/>
    <numFmt numFmtId="165" formatCode="#,##0.00####;[Red]\-\ #,##0.00####"/>
    <numFmt numFmtId="166" formatCode="#,##0.00;[Red]\-\ #,##0.00"/>
  </numFmts>
  <fonts count="19" x14ac:knownFonts="1">
    <font>
      <sz val="10"/>
      <name val="Arial"/>
      <charset val="204"/>
    </font>
    <font>
      <b/>
      <sz val="10"/>
      <color indexed="12"/>
      <name val="Arial"/>
      <family val="2"/>
      <charset val="204"/>
    </font>
    <font>
      <b/>
      <sz val="10"/>
      <color indexed="16"/>
      <name val="Arial"/>
      <family val="2"/>
      <charset val="204"/>
    </font>
    <font>
      <b/>
      <sz val="10"/>
      <color indexed="20"/>
      <name val="Arial"/>
      <family val="2"/>
      <charset val="204"/>
    </font>
    <font>
      <b/>
      <sz val="10"/>
      <color indexed="17"/>
      <name val="Arial"/>
      <family val="2"/>
      <charset val="204"/>
    </font>
    <font>
      <b/>
      <sz val="10"/>
      <color indexed="14"/>
      <name val="Arial"/>
      <family val="2"/>
      <charset val="204"/>
    </font>
    <font>
      <sz val="10"/>
      <color indexed="12"/>
      <name val="Arial"/>
      <family val="2"/>
      <charset val="204"/>
    </font>
    <font>
      <sz val="10"/>
      <color indexed="14"/>
      <name val="Arial"/>
      <family val="2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b/>
      <sz val="13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i/>
      <sz val="11"/>
      <name val="Arial"/>
      <family val="2"/>
      <charset val="204"/>
    </font>
    <font>
      <sz val="13"/>
      <name val="Arial"/>
      <family val="2"/>
      <charset val="204"/>
    </font>
    <font>
      <i/>
      <sz val="10"/>
      <name val="Arial"/>
      <family val="2"/>
      <charset val="204"/>
    </font>
    <font>
      <b/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Border="1" applyAlignment="1">
      <alignment wrapText="1"/>
    </xf>
    <xf numFmtId="164" fontId="10" fillId="0" borderId="0" xfId="0" applyNumberFormat="1" applyFont="1"/>
    <xf numFmtId="1" fontId="10" fillId="0" borderId="0" xfId="0" applyNumberFormat="1" applyFont="1"/>
    <xf numFmtId="0" fontId="15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5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8" fillId="0" borderId="0" xfId="0" applyFont="1" applyAlignment="1">
      <alignment wrapText="1"/>
    </xf>
    <xf numFmtId="166" fontId="15" fillId="0" borderId="0" xfId="0" applyNumberFormat="1" applyFont="1" applyAlignment="1">
      <alignment horizontal="right"/>
    </xf>
    <xf numFmtId="166" fontId="0" fillId="0" borderId="0" xfId="0" applyNumberFormat="1"/>
    <xf numFmtId="0" fontId="18" fillId="0" borderId="0" xfId="0" applyFont="1" applyAlignment="1">
      <alignment horizontal="right"/>
    </xf>
    <xf numFmtId="0" fontId="0" fillId="0" borderId="6" xfId="0" applyBorder="1"/>
    <xf numFmtId="166" fontId="18" fillId="0" borderId="6" xfId="0" applyNumberFormat="1" applyFont="1" applyBorder="1" applyAlignment="1">
      <alignment horizontal="right"/>
    </xf>
    <xf numFmtId="0" fontId="15" fillId="0" borderId="0" xfId="0" applyFont="1" applyAlignment="1">
      <alignment wrapText="1"/>
    </xf>
    <xf numFmtId="0" fontId="18" fillId="0" borderId="0" xfId="0" applyFont="1"/>
    <xf numFmtId="0" fontId="10" fillId="0" borderId="0" xfId="0" quotePrefix="1" applyFont="1" applyAlignment="1">
      <alignment horizontal="right" wrapText="1"/>
    </xf>
    <xf numFmtId="0" fontId="10" fillId="0" borderId="1" xfId="0" applyFont="1" applyBorder="1"/>
    <xf numFmtId="0" fontId="18" fillId="0" borderId="0" xfId="0" applyFont="1" applyBorder="1" applyAlignment="1">
      <alignment horizontal="right"/>
    </xf>
    <xf numFmtId="0" fontId="10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0" fontId="10" fillId="0" borderId="2" xfId="0" applyFont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wrapText="1"/>
    </xf>
    <xf numFmtId="0" fontId="10" fillId="0" borderId="3" xfId="0" applyFont="1" applyBorder="1" applyAlignment="1">
      <alignment horizontal="right" wrapText="1"/>
    </xf>
    <xf numFmtId="0" fontId="10" fillId="0" borderId="3" xfId="0" applyFont="1" applyBorder="1" applyAlignment="1">
      <alignment horizontal="right"/>
    </xf>
    <xf numFmtId="0" fontId="10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wrapText="1"/>
    </xf>
    <xf numFmtId="0" fontId="10" fillId="0" borderId="2" xfId="0" applyFont="1" applyBorder="1" applyAlignment="1">
      <alignment horizontal="right" wrapText="1"/>
    </xf>
    <xf numFmtId="0" fontId="10" fillId="0" borderId="2" xfId="0" applyFont="1" applyBorder="1" applyAlignment="1">
      <alignment horizontal="right"/>
    </xf>
    <xf numFmtId="49" fontId="10" fillId="0" borderId="3" xfId="0" applyNumberFormat="1" applyFont="1" applyBorder="1" applyAlignment="1">
      <alignment horizontal="left" vertical="top" wrapText="1"/>
    </xf>
    <xf numFmtId="166" fontId="10" fillId="0" borderId="3" xfId="0" applyNumberFormat="1" applyFont="1" applyBorder="1" applyAlignment="1">
      <alignment horizontal="right" wrapText="1"/>
    </xf>
    <xf numFmtId="0" fontId="10" fillId="0" borderId="0" xfId="0" applyFont="1" applyBorder="1" applyAlignment="1">
      <alignment horizontal="left" wrapText="1"/>
    </xf>
    <xf numFmtId="0" fontId="10" fillId="0" borderId="0" xfId="0" applyFont="1" applyAlignment="1">
      <alignment horizontal="right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66" fontId="10" fillId="0" borderId="0" xfId="0" applyNumberFormat="1" applyFont="1" applyAlignment="1">
      <alignment horizontal="right"/>
    </xf>
    <xf numFmtId="0" fontId="14" fillId="0" borderId="1" xfId="0" applyFont="1" applyBorder="1" applyAlignment="1">
      <alignment horizontal="center" wrapText="1"/>
    </xf>
    <xf numFmtId="0" fontId="0" fillId="0" borderId="0" xfId="0" applyAlignment="1"/>
    <xf numFmtId="0" fontId="10" fillId="0" borderId="0" xfId="0" applyFont="1" applyAlignment="1">
      <alignment horizontal="left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18" fillId="0" borderId="6" xfId="0" applyNumberFormat="1" applyFont="1" applyBorder="1" applyAlignment="1">
      <alignment horizontal="right"/>
    </xf>
    <xf numFmtId="166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11" fillId="0" borderId="0" xfId="0" applyFont="1" applyAlignment="1">
      <alignment horizontal="center" wrapText="1"/>
    </xf>
    <xf numFmtId="0" fontId="18" fillId="0" borderId="0" xfId="0" applyFont="1" applyAlignment="1">
      <alignment horizontal="left" wrapText="1"/>
    </xf>
    <xf numFmtId="0" fontId="10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/>
    </xf>
    <xf numFmtId="0" fontId="11" fillId="0" borderId="2" xfId="0" applyFont="1" applyBorder="1" applyAlignment="1">
      <alignment horizontal="center" wrapText="1"/>
    </xf>
    <xf numFmtId="0" fontId="18" fillId="0" borderId="0" xfId="0" applyFont="1" applyBorder="1" applyAlignment="1">
      <alignment horizontal="right"/>
    </xf>
    <xf numFmtId="0" fontId="12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11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right"/>
    </xf>
    <xf numFmtId="166" fontId="18" fillId="0" borderId="3" xfId="0" applyNumberFormat="1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43"/>
  <sheetViews>
    <sheetView tabSelected="1" zoomScaleNormal="100" workbookViewId="0">
      <selection activeCell="A10" sqref="A10:K10"/>
    </sheetView>
  </sheetViews>
  <sheetFormatPr defaultRowHeight="12.75" x14ac:dyDescent="0.2"/>
  <cols>
    <col min="1" max="1" width="5.7109375" customWidth="1"/>
    <col min="2" max="2" width="11.7109375" customWidth="1"/>
    <col min="3" max="3" width="40.7109375" customWidth="1"/>
    <col min="4" max="6" width="11.7109375" customWidth="1"/>
    <col min="7" max="7" width="12.7109375" customWidth="1"/>
    <col min="9" max="11" width="12.7109375" customWidth="1"/>
    <col min="15" max="36" width="0" hidden="1" customWidth="1"/>
  </cols>
  <sheetData>
    <row r="1" spans="1:11" x14ac:dyDescent="0.2">
      <c r="A1" s="8" t="str">
        <f>CONCATENATE(Source!B1, "     СН-2012 (© ОАО МЦЦС 'Мосстройцены', ", "2020", ")")</f>
        <v>Smeta.RU Flash  (495) 974-1589     СН-2012 (© ОАО МЦЦС 'Мосстройцены', 2020)</v>
      </c>
    </row>
    <row r="2" spans="1:11" ht="14.25" x14ac:dyDescent="0.2">
      <c r="A2" s="9"/>
      <c r="B2" s="9"/>
      <c r="C2" s="9"/>
      <c r="D2" s="9"/>
      <c r="E2" s="9"/>
      <c r="F2" s="9"/>
      <c r="G2" s="9"/>
      <c r="H2" s="9"/>
      <c r="I2" s="9"/>
      <c r="J2" s="52" t="s">
        <v>660</v>
      </c>
      <c r="K2" s="52"/>
    </row>
    <row r="3" spans="1:11" ht="16.5" x14ac:dyDescent="0.25">
      <c r="A3" s="11"/>
      <c r="B3" s="57" t="s">
        <v>658</v>
      </c>
      <c r="C3" s="57"/>
      <c r="D3" s="57"/>
      <c r="E3" s="57"/>
      <c r="F3" s="10"/>
      <c r="G3" s="57" t="s">
        <v>659</v>
      </c>
      <c r="H3" s="57"/>
      <c r="I3" s="57"/>
      <c r="J3" s="57"/>
      <c r="K3" s="57"/>
    </row>
    <row r="4" spans="1:11" ht="14.25" x14ac:dyDescent="0.2">
      <c r="A4" s="10"/>
      <c r="B4" s="58"/>
      <c r="C4" s="58"/>
      <c r="D4" s="58"/>
      <c r="E4" s="58"/>
      <c r="F4" s="10"/>
      <c r="G4" s="58"/>
      <c r="H4" s="58"/>
      <c r="I4" s="58"/>
      <c r="J4" s="58"/>
      <c r="K4" s="58"/>
    </row>
    <row r="5" spans="1:11" ht="14.25" x14ac:dyDescent="0.2">
      <c r="A5" s="12"/>
      <c r="B5" s="12"/>
      <c r="C5" s="13"/>
      <c r="D5" s="13"/>
      <c r="E5" s="13"/>
      <c r="F5" s="10"/>
      <c r="G5" s="14"/>
      <c r="H5" s="13"/>
      <c r="I5" s="13"/>
      <c r="J5" s="13"/>
      <c r="K5" s="14"/>
    </row>
    <row r="6" spans="1:11" ht="14.25" x14ac:dyDescent="0.2">
      <c r="A6" s="14"/>
      <c r="B6" s="58" t="str">
        <f>CONCATENATE("______________________ ", IF(Source!AL12&lt;&gt;"", Source!AL12, ""))</f>
        <v xml:space="preserve">______________________ </v>
      </c>
      <c r="C6" s="58"/>
      <c r="D6" s="58"/>
      <c r="E6" s="58"/>
      <c r="F6" s="10"/>
      <c r="G6" s="58" t="str">
        <f>CONCATENATE("______________________ ", IF(Source!AH12&lt;&gt;"", Source!AH12, ""))</f>
        <v xml:space="preserve">______________________ </v>
      </c>
      <c r="H6" s="58"/>
      <c r="I6" s="58"/>
      <c r="J6" s="58"/>
      <c r="K6" s="58"/>
    </row>
    <row r="7" spans="1:11" ht="14.25" x14ac:dyDescent="0.2">
      <c r="A7" s="15"/>
      <c r="B7" s="51" t="s">
        <v>780</v>
      </c>
      <c r="C7" s="51"/>
      <c r="D7" s="51"/>
      <c r="E7" s="51"/>
      <c r="F7" s="10"/>
      <c r="G7" s="51" t="s">
        <v>780</v>
      </c>
      <c r="H7" s="51"/>
      <c r="I7" s="51"/>
      <c r="J7" s="51"/>
      <c r="K7" s="51"/>
    </row>
    <row r="9" spans="1:11" ht="14.25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ht="15.75" x14ac:dyDescent="0.25">
      <c r="A10" s="53" t="str">
        <f>CONCATENATE( "ЛОКАЛЬНАЯ СМЕТА № ",IF(Source!F12&lt;&gt;"Новый объект", Source!F12, ""))</f>
        <v xml:space="preserve">ЛОКАЛЬНАЯ СМЕТА № 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</row>
    <row r="11" spans="1:11" x14ac:dyDescent="0.2">
      <c r="A11" s="55" t="s">
        <v>661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</row>
    <row r="12" spans="1:11" ht="14.25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 ht="18" hidden="1" x14ac:dyDescent="0.2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</row>
    <row r="14" spans="1:11" ht="14.25" hidden="1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ht="18" x14ac:dyDescent="0.25">
      <c r="A15" s="60" t="str">
        <f>IF(Source!G12&lt;&gt;"Новый объект", Source!G12, "")</f>
        <v>Выполнение работ по проведению ремонта прилегающей территории для нужд ГБОУ Школа № 630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</row>
    <row r="16" spans="1:11" x14ac:dyDescent="0.2">
      <c r="A16" s="55" t="s">
        <v>662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</row>
    <row r="17" spans="1:11" ht="14.25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ht="14.25" x14ac:dyDescent="0.2">
      <c r="A18" s="62" t="str">
        <f>CONCATENATE( "Основание: чертежи № ", Source!J12)</f>
        <v xml:space="preserve">Основание: чертежи № </v>
      </c>
      <c r="B18" s="62"/>
      <c r="C18" s="62"/>
      <c r="D18" s="62"/>
      <c r="E18" s="62"/>
      <c r="F18" s="62"/>
      <c r="G18" s="62"/>
      <c r="H18" s="62"/>
      <c r="I18" s="62"/>
      <c r="J18" s="62"/>
      <c r="K18" s="62"/>
    </row>
    <row r="19" spans="1:11" ht="14.25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ht="14.25" x14ac:dyDescent="0.2">
      <c r="A20" s="10"/>
      <c r="B20" s="10"/>
      <c r="C20" s="10"/>
      <c r="D20" s="10"/>
      <c r="E20" s="10"/>
      <c r="F20" s="58" t="s">
        <v>663</v>
      </c>
      <c r="G20" s="58"/>
      <c r="H20" s="58"/>
      <c r="I20" s="59">
        <f>(Source!F984/1000)</f>
        <v>6627.3730999999998</v>
      </c>
      <c r="J20" s="52"/>
      <c r="K20" s="10" t="s">
        <v>664</v>
      </c>
    </row>
    <row r="21" spans="1:11" ht="14.25" hidden="1" x14ac:dyDescent="0.2">
      <c r="A21" s="10"/>
      <c r="B21" s="10"/>
      <c r="C21" s="10"/>
      <c r="D21" s="10"/>
      <c r="E21" s="10"/>
      <c r="F21" s="58" t="s">
        <v>104</v>
      </c>
      <c r="G21" s="58"/>
      <c r="H21" s="58"/>
      <c r="I21" s="59">
        <f>(Source!F973)/1000</f>
        <v>0</v>
      </c>
      <c r="J21" s="52"/>
      <c r="K21" s="10" t="s">
        <v>664</v>
      </c>
    </row>
    <row r="22" spans="1:11" ht="14.25" hidden="1" x14ac:dyDescent="0.2">
      <c r="A22" s="10"/>
      <c r="B22" s="10"/>
      <c r="C22" s="10"/>
      <c r="D22" s="10"/>
      <c r="E22" s="10"/>
      <c r="F22" s="58" t="s">
        <v>665</v>
      </c>
      <c r="G22" s="58"/>
      <c r="H22" s="58"/>
      <c r="I22" s="59">
        <f>(Source!F974)/1000</f>
        <v>0</v>
      </c>
      <c r="J22" s="52"/>
      <c r="K22" s="10" t="s">
        <v>664</v>
      </c>
    </row>
    <row r="23" spans="1:11" ht="14.25" hidden="1" x14ac:dyDescent="0.2">
      <c r="A23" s="10"/>
      <c r="B23" s="10"/>
      <c r="C23" s="10"/>
      <c r="D23" s="10"/>
      <c r="E23" s="10"/>
      <c r="F23" s="58" t="s">
        <v>666</v>
      </c>
      <c r="G23" s="58"/>
      <c r="H23" s="58"/>
      <c r="I23" s="59">
        <f>(Source!F965)/1000</f>
        <v>0</v>
      </c>
      <c r="J23" s="52"/>
      <c r="K23" s="10" t="s">
        <v>664</v>
      </c>
    </row>
    <row r="24" spans="1:11" ht="14.25" hidden="1" x14ac:dyDescent="0.2">
      <c r="A24" s="10"/>
      <c r="B24" s="10"/>
      <c r="C24" s="10"/>
      <c r="D24" s="10"/>
      <c r="E24" s="10"/>
      <c r="F24" s="58" t="s">
        <v>667</v>
      </c>
      <c r="G24" s="58"/>
      <c r="H24" s="58"/>
      <c r="I24" s="59">
        <f>(Source!F975+Source!F976)/1000</f>
        <v>6627.3730999999998</v>
      </c>
      <c r="J24" s="52"/>
      <c r="K24" s="10" t="s">
        <v>664</v>
      </c>
    </row>
    <row r="25" spans="1:11" ht="14.25" x14ac:dyDescent="0.2">
      <c r="A25" s="10"/>
      <c r="B25" s="10"/>
      <c r="C25" s="10"/>
      <c r="D25" s="10"/>
      <c r="E25" s="10"/>
      <c r="F25" s="58" t="s">
        <v>668</v>
      </c>
      <c r="G25" s="58"/>
      <c r="H25" s="58"/>
      <c r="I25" s="59">
        <f>(Source!F971+ Source!F970)/1000</f>
        <v>1643.0705</v>
      </c>
      <c r="J25" s="52"/>
      <c r="K25" s="10" t="s">
        <v>664</v>
      </c>
    </row>
    <row r="26" spans="1:11" ht="14.25" x14ac:dyDescent="0.2">
      <c r="A26" s="10" t="s">
        <v>682</v>
      </c>
      <c r="B26" s="10"/>
      <c r="C26" s="10"/>
      <c r="D26" s="16"/>
      <c r="E26" s="17"/>
      <c r="F26" s="10"/>
      <c r="G26" s="10"/>
      <c r="H26" s="10"/>
      <c r="I26" s="10"/>
      <c r="J26" s="10"/>
      <c r="K26" s="10"/>
    </row>
    <row r="27" spans="1:11" ht="14.25" x14ac:dyDescent="0.2">
      <c r="A27" s="63" t="s">
        <v>669</v>
      </c>
      <c r="B27" s="63" t="s">
        <v>670</v>
      </c>
      <c r="C27" s="63" t="s">
        <v>671</v>
      </c>
      <c r="D27" s="63" t="s">
        <v>672</v>
      </c>
      <c r="E27" s="63" t="s">
        <v>673</v>
      </c>
      <c r="F27" s="63" t="s">
        <v>674</v>
      </c>
      <c r="G27" s="63" t="s">
        <v>675</v>
      </c>
      <c r="H27" s="63" t="s">
        <v>676</v>
      </c>
      <c r="I27" s="63" t="s">
        <v>677</v>
      </c>
      <c r="J27" s="63" t="s">
        <v>678</v>
      </c>
      <c r="K27" s="18" t="s">
        <v>679</v>
      </c>
    </row>
    <row r="28" spans="1:11" ht="28.5" x14ac:dyDescent="0.2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19" t="s">
        <v>680</v>
      </c>
    </row>
    <row r="29" spans="1:11" ht="28.5" x14ac:dyDescent="0.2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19" t="s">
        <v>681</v>
      </c>
    </row>
    <row r="30" spans="1:11" ht="14.25" x14ac:dyDescent="0.2">
      <c r="A30" s="19">
        <v>1</v>
      </c>
      <c r="B30" s="19">
        <v>2</v>
      </c>
      <c r="C30" s="19">
        <v>3</v>
      </c>
      <c r="D30" s="19">
        <v>4</v>
      </c>
      <c r="E30" s="19">
        <v>5</v>
      </c>
      <c r="F30" s="19">
        <v>6</v>
      </c>
      <c r="G30" s="19">
        <v>7</v>
      </c>
      <c r="H30" s="19">
        <v>8</v>
      </c>
      <c r="I30" s="19">
        <v>9</v>
      </c>
      <c r="J30" s="19">
        <v>10</v>
      </c>
      <c r="K30" s="19">
        <v>11</v>
      </c>
    </row>
    <row r="32" spans="1:11" ht="16.5" x14ac:dyDescent="0.25">
      <c r="A32" s="68" t="str">
        <f>CONCATENATE("Локальная смета: ",IF(Source!G20&lt;&gt;"Новая локальная смета", Source!G20, ""))</f>
        <v xml:space="preserve">Локальная смета: </v>
      </c>
      <c r="B32" s="68"/>
      <c r="C32" s="68"/>
      <c r="D32" s="68"/>
      <c r="E32" s="68"/>
      <c r="F32" s="68"/>
      <c r="G32" s="68"/>
      <c r="H32" s="68"/>
      <c r="I32" s="68"/>
      <c r="J32" s="68"/>
      <c r="K32" s="68"/>
    </row>
    <row r="34" spans="1:22" ht="16.5" x14ac:dyDescent="0.25">
      <c r="A34" s="68" t="str">
        <f>CONCATENATE("Раздел: ",IF(Source!G24&lt;&gt;"Новый раздел", Source!G24, ""))</f>
        <v>Раздел: Веранды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</row>
    <row r="36" spans="1:22" ht="16.5" x14ac:dyDescent="0.25">
      <c r="A36" s="68" t="str">
        <f>CONCATENATE("Подраздел: ",IF(Source!G28&lt;&gt;"Новый подраздел", Source!G28, ""))</f>
        <v>Подраздел: Демонтажные работы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</row>
    <row r="37" spans="1:22" ht="170.25" x14ac:dyDescent="0.2">
      <c r="A37" s="20" t="str">
        <f>Source!E32</f>
        <v>1</v>
      </c>
      <c r="B37" s="21" t="s">
        <v>683</v>
      </c>
      <c r="C37" s="21" t="s">
        <v>684</v>
      </c>
      <c r="D37" s="22" t="str">
        <f>Source!DW32</f>
        <v>100 м2</v>
      </c>
      <c r="E37" s="9">
        <f>Source!I32</f>
        <v>1.2</v>
      </c>
      <c r="F37" s="24"/>
      <c r="G37" s="23"/>
      <c r="H37" s="9"/>
      <c r="I37" s="9"/>
      <c r="J37" s="25"/>
      <c r="K37" s="25"/>
      <c r="Q37">
        <f>ROUND((Source!BZ32/100)*ROUND((Source!AF32*Source!AV32)*Source!I32, 2), 2)</f>
        <v>1576.22</v>
      </c>
      <c r="R37">
        <f>Source!X32</f>
        <v>1576.22</v>
      </c>
      <c r="S37">
        <f>ROUND((Source!CA32/100)*ROUND((Source!AF32*Source!AV32)*Source!I32, 2), 2)</f>
        <v>225.17</v>
      </c>
      <c r="T37">
        <f>Source!Y32</f>
        <v>225.17</v>
      </c>
      <c r="U37">
        <f>ROUND((175/100)*ROUND((Source!AE32*Source!AV32)*Source!I32, 2), 2)</f>
        <v>1.44</v>
      </c>
      <c r="V37">
        <f>ROUND((108/100)*ROUND(Source!CS32*Source!I32, 2), 2)</f>
        <v>0.89</v>
      </c>
    </row>
    <row r="38" spans="1:22" x14ac:dyDescent="0.2">
      <c r="C38" s="26" t="str">
        <f>"Объем: "&amp;Source!I32&amp;"=120/"&amp;"100"</f>
        <v>Объем: 1,2=120/100</v>
      </c>
    </row>
    <row r="39" spans="1:22" ht="14.25" x14ac:dyDescent="0.2">
      <c r="A39" s="20"/>
      <c r="B39" s="21"/>
      <c r="C39" s="21" t="s">
        <v>685</v>
      </c>
      <c r="D39" s="22"/>
      <c r="E39" s="9"/>
      <c r="F39" s="24">
        <f>Source!AO32</f>
        <v>9382.25</v>
      </c>
      <c r="G39" s="23" t="str">
        <f>Source!DG32</f>
        <v>)*0,2</v>
      </c>
      <c r="H39" s="9">
        <f>Source!AV32</f>
        <v>1</v>
      </c>
      <c r="I39" s="9">
        <f>IF(Source!BA32&lt;&gt; 0, Source!BA32, 1)</f>
        <v>1</v>
      </c>
      <c r="J39" s="25">
        <f>Source!S32</f>
        <v>2251.7399999999998</v>
      </c>
      <c r="K39" s="25"/>
    </row>
    <row r="40" spans="1:22" ht="14.25" x14ac:dyDescent="0.2">
      <c r="A40" s="20"/>
      <c r="B40" s="21"/>
      <c r="C40" s="21" t="s">
        <v>686</v>
      </c>
      <c r="D40" s="22"/>
      <c r="E40" s="9"/>
      <c r="F40" s="24">
        <f>Source!AM32</f>
        <v>31.83</v>
      </c>
      <c r="G40" s="23" t="str">
        <f>Source!DE32</f>
        <v>)*0,2</v>
      </c>
      <c r="H40" s="9">
        <f>Source!AV32</f>
        <v>1</v>
      </c>
      <c r="I40" s="9">
        <f>IF(Source!BB32&lt;&gt; 0, Source!BB32, 1)</f>
        <v>1</v>
      </c>
      <c r="J40" s="25">
        <f>Source!Q32</f>
        <v>7.64</v>
      </c>
      <c r="K40" s="25"/>
    </row>
    <row r="41" spans="1:22" ht="14.25" x14ac:dyDescent="0.2">
      <c r="A41" s="20"/>
      <c r="B41" s="21"/>
      <c r="C41" s="21" t="s">
        <v>687</v>
      </c>
      <c r="D41" s="22"/>
      <c r="E41" s="9"/>
      <c r="F41" s="24">
        <f>Source!AN32</f>
        <v>3.42</v>
      </c>
      <c r="G41" s="23" t="str">
        <f>Source!DF32</f>
        <v>)*0,2</v>
      </c>
      <c r="H41" s="9">
        <f>Source!AV32</f>
        <v>1</v>
      </c>
      <c r="I41" s="9">
        <f>IF(Source!BS32&lt;&gt; 0, Source!BS32, 1)</f>
        <v>1</v>
      </c>
      <c r="J41" s="27">
        <f>Source!R32</f>
        <v>0.82</v>
      </c>
      <c r="K41" s="25"/>
    </row>
    <row r="42" spans="1:22" ht="14.25" x14ac:dyDescent="0.2">
      <c r="A42" s="20"/>
      <c r="B42" s="21"/>
      <c r="C42" s="21" t="s">
        <v>688</v>
      </c>
      <c r="D42" s="22" t="s">
        <v>689</v>
      </c>
      <c r="E42" s="9">
        <f>Source!AT32</f>
        <v>70</v>
      </c>
      <c r="F42" s="24"/>
      <c r="G42" s="23"/>
      <c r="H42" s="9"/>
      <c r="I42" s="9"/>
      <c r="J42" s="25">
        <f>SUM(R37:R41)</f>
        <v>1576.22</v>
      </c>
      <c r="K42" s="25"/>
    </row>
    <row r="43" spans="1:22" ht="14.25" x14ac:dyDescent="0.2">
      <c r="A43" s="20"/>
      <c r="B43" s="21"/>
      <c r="C43" s="21" t="s">
        <v>690</v>
      </c>
      <c r="D43" s="22" t="s">
        <v>689</v>
      </c>
      <c r="E43" s="9">
        <f>Source!AU32</f>
        <v>10</v>
      </c>
      <c r="F43" s="24"/>
      <c r="G43" s="23"/>
      <c r="H43" s="9"/>
      <c r="I43" s="9"/>
      <c r="J43" s="25">
        <f>SUM(T37:T42)</f>
        <v>225.17</v>
      </c>
      <c r="K43" s="25"/>
    </row>
    <row r="44" spans="1:22" ht="14.25" x14ac:dyDescent="0.2">
      <c r="A44" s="20"/>
      <c r="B44" s="21"/>
      <c r="C44" s="21" t="s">
        <v>691</v>
      </c>
      <c r="D44" s="22" t="s">
        <v>689</v>
      </c>
      <c r="E44" s="9">
        <f>108</f>
        <v>108</v>
      </c>
      <c r="F44" s="24"/>
      <c r="G44" s="23"/>
      <c r="H44" s="9"/>
      <c r="I44" s="9"/>
      <c r="J44" s="25">
        <f>SUM(V37:V43)</f>
        <v>0.89</v>
      </c>
      <c r="K44" s="25"/>
    </row>
    <row r="45" spans="1:22" ht="14.25" x14ac:dyDescent="0.2">
      <c r="A45" s="20"/>
      <c r="B45" s="21"/>
      <c r="C45" s="21" t="s">
        <v>692</v>
      </c>
      <c r="D45" s="22" t="s">
        <v>693</v>
      </c>
      <c r="E45" s="9">
        <f>Source!AQ32</f>
        <v>36.46</v>
      </c>
      <c r="F45" s="24"/>
      <c r="G45" s="23" t="str">
        <f>Source!DI32</f>
        <v>)*0,2</v>
      </c>
      <c r="H45" s="9">
        <f>Source!AV32</f>
        <v>1</v>
      </c>
      <c r="I45" s="9"/>
      <c r="J45" s="25"/>
      <c r="K45" s="25">
        <f>Source!U32</f>
        <v>8.7504000000000008</v>
      </c>
    </row>
    <row r="46" spans="1:22" ht="15" x14ac:dyDescent="0.25">
      <c r="A46" s="30"/>
      <c r="B46" s="30"/>
      <c r="C46" s="30"/>
      <c r="D46" s="30"/>
      <c r="E46" s="30"/>
      <c r="F46" s="30"/>
      <c r="G46" s="30"/>
      <c r="H46" s="30"/>
      <c r="I46" s="65">
        <f>J39+J40+J42+J43+J44</f>
        <v>4061.6599999999994</v>
      </c>
      <c r="J46" s="65"/>
      <c r="K46" s="31">
        <f>IF(Source!I32&lt;&gt;0, ROUND(I46/Source!I32, 2), 0)</f>
        <v>3384.72</v>
      </c>
      <c r="P46" s="28">
        <f>I46</f>
        <v>4061.6599999999994</v>
      </c>
    </row>
    <row r="47" spans="1:22" ht="42.75" x14ac:dyDescent="0.2">
      <c r="A47" s="20" t="str">
        <f>Source!E33</f>
        <v>2</v>
      </c>
      <c r="B47" s="21" t="str">
        <f>Source!F33</f>
        <v>1.7-5104-1-1/1</v>
      </c>
      <c r="C47" s="21" t="str">
        <f>Source!G33</f>
        <v>Разборка конструктивных элементов крыши, обрешетки из брусков и досок с прозорами</v>
      </c>
      <c r="D47" s="22" t="str">
        <f>Source!DW33</f>
        <v>10 м2</v>
      </c>
      <c r="E47" s="9">
        <f>Source!I33</f>
        <v>12</v>
      </c>
      <c r="F47" s="24"/>
      <c r="G47" s="23"/>
      <c r="H47" s="9"/>
      <c r="I47" s="9"/>
      <c r="J47" s="25"/>
      <c r="K47" s="25"/>
      <c r="Q47">
        <f>ROUND((Source!BZ33/100)*ROUND((Source!AF33*Source!AV33)*Source!I33, 2), 2)</f>
        <v>4211.59</v>
      </c>
      <c r="R47">
        <f>Source!X33</f>
        <v>4211.59</v>
      </c>
      <c r="S47">
        <f>ROUND((Source!CA33/100)*ROUND((Source!AF33*Source!AV33)*Source!I33, 2), 2)</f>
        <v>601.66</v>
      </c>
      <c r="T47">
        <f>Source!Y33</f>
        <v>601.66</v>
      </c>
      <c r="U47">
        <f>ROUND((175/100)*ROUND((Source!AE33*Source!AV33)*Source!I33, 2), 2)</f>
        <v>0</v>
      </c>
      <c r="V47">
        <f>ROUND((108/100)*ROUND(Source!CS33*Source!I33, 2), 2)</f>
        <v>0</v>
      </c>
    </row>
    <row r="48" spans="1:22" x14ac:dyDescent="0.2">
      <c r="C48" s="26" t="str">
        <f>"Объем: "&amp;Source!I33&amp;"=120/"&amp;"10"</f>
        <v>Объем: 12=120/10</v>
      </c>
    </row>
    <row r="49" spans="1:22" ht="14.25" x14ac:dyDescent="0.2">
      <c r="A49" s="20"/>
      <c r="B49" s="21"/>
      <c r="C49" s="21" t="s">
        <v>685</v>
      </c>
      <c r="D49" s="22"/>
      <c r="E49" s="9"/>
      <c r="F49" s="24">
        <f>Source!AO33</f>
        <v>501.38</v>
      </c>
      <c r="G49" s="23" t="str">
        <f>Source!DG33</f>
        <v/>
      </c>
      <c r="H49" s="9">
        <f>Source!AV33</f>
        <v>1</v>
      </c>
      <c r="I49" s="9">
        <f>IF(Source!BA33&lt;&gt; 0, Source!BA33, 1)</f>
        <v>1</v>
      </c>
      <c r="J49" s="25">
        <f>Source!S33</f>
        <v>6016.56</v>
      </c>
      <c r="K49" s="25"/>
    </row>
    <row r="50" spans="1:22" ht="14.25" x14ac:dyDescent="0.2">
      <c r="A50" s="20"/>
      <c r="B50" s="21"/>
      <c r="C50" s="21" t="s">
        <v>688</v>
      </c>
      <c r="D50" s="22" t="s">
        <v>689</v>
      </c>
      <c r="E50" s="9">
        <f>Source!AT33</f>
        <v>70</v>
      </c>
      <c r="F50" s="24"/>
      <c r="G50" s="23"/>
      <c r="H50" s="9"/>
      <c r="I50" s="9"/>
      <c r="J50" s="25">
        <f>SUM(R47:R49)</f>
        <v>4211.59</v>
      </c>
      <c r="K50" s="25"/>
    </row>
    <row r="51" spans="1:22" ht="14.25" x14ac:dyDescent="0.2">
      <c r="A51" s="20"/>
      <c r="B51" s="21"/>
      <c r="C51" s="21" t="s">
        <v>690</v>
      </c>
      <c r="D51" s="22" t="s">
        <v>689</v>
      </c>
      <c r="E51" s="9">
        <f>Source!AU33</f>
        <v>10</v>
      </c>
      <c r="F51" s="24"/>
      <c r="G51" s="23"/>
      <c r="H51" s="9"/>
      <c r="I51" s="9"/>
      <c r="J51" s="25">
        <f>SUM(T47:T50)</f>
        <v>601.66</v>
      </c>
      <c r="K51" s="25"/>
    </row>
    <row r="52" spans="1:22" ht="14.25" x14ac:dyDescent="0.2">
      <c r="A52" s="20"/>
      <c r="B52" s="21"/>
      <c r="C52" s="21" t="s">
        <v>692</v>
      </c>
      <c r="D52" s="22" t="s">
        <v>693</v>
      </c>
      <c r="E52" s="9">
        <f>Source!AQ33</f>
        <v>2.15</v>
      </c>
      <c r="F52" s="24"/>
      <c r="G52" s="23" t="str">
        <f>Source!DI33</f>
        <v/>
      </c>
      <c r="H52" s="9">
        <f>Source!AV33</f>
        <v>1</v>
      </c>
      <c r="I52" s="9"/>
      <c r="J52" s="25"/>
      <c r="K52" s="25">
        <f>Source!U33</f>
        <v>25.799999999999997</v>
      </c>
    </row>
    <row r="53" spans="1:22" ht="15" x14ac:dyDescent="0.25">
      <c r="A53" s="30"/>
      <c r="B53" s="30"/>
      <c r="C53" s="30"/>
      <c r="D53" s="30"/>
      <c r="E53" s="30"/>
      <c r="F53" s="30"/>
      <c r="G53" s="30"/>
      <c r="H53" s="30"/>
      <c r="I53" s="65">
        <f>J49+J50+J51</f>
        <v>10829.810000000001</v>
      </c>
      <c r="J53" s="65"/>
      <c r="K53" s="31">
        <f>IF(Source!I33&lt;&gt;0, ROUND(I53/Source!I33, 2), 0)</f>
        <v>902.48</v>
      </c>
      <c r="P53" s="28">
        <f>I53</f>
        <v>10829.810000000001</v>
      </c>
    </row>
    <row r="54" spans="1:22" ht="28.5" x14ac:dyDescent="0.2">
      <c r="A54" s="20" t="str">
        <f>Source!E34</f>
        <v>3</v>
      </c>
      <c r="B54" s="21" t="str">
        <f>Source!F34</f>
        <v>1.8-3504-1-1/1</v>
      </c>
      <c r="C54" s="21" t="str">
        <f>Source!G34</f>
        <v>Разборка монолитных бетонных перегородок</v>
      </c>
      <c r="D54" s="22" t="str">
        <f>Source!DW34</f>
        <v>м3</v>
      </c>
      <c r="E54" s="9">
        <f>Source!I34</f>
        <v>17.34</v>
      </c>
      <c r="F54" s="24"/>
      <c r="G54" s="23"/>
      <c r="H54" s="9"/>
      <c r="I54" s="9"/>
      <c r="J54" s="25"/>
      <c r="K54" s="25"/>
      <c r="Q54">
        <f>ROUND((Source!BZ34/100)*ROUND((Source!AF34*Source!AV34)*Source!I34, 2), 2)</f>
        <v>22895.31</v>
      </c>
      <c r="R54">
        <f>Source!X34</f>
        <v>22895.31</v>
      </c>
      <c r="S54">
        <f>ROUND((Source!CA34/100)*ROUND((Source!AF34*Source!AV34)*Source!I34, 2), 2)</f>
        <v>3270.76</v>
      </c>
      <c r="T54">
        <f>Source!Y34</f>
        <v>3270.76</v>
      </c>
      <c r="U54">
        <f>ROUND((175/100)*ROUND((Source!AE34*Source!AV34)*Source!I34, 2), 2)</f>
        <v>101706.12</v>
      </c>
      <c r="V54">
        <f>ROUND((108/100)*ROUND(Source!CS34*Source!I34, 2), 2)</f>
        <v>62767.199999999997</v>
      </c>
    </row>
    <row r="55" spans="1:22" ht="14.25" x14ac:dyDescent="0.2">
      <c r="A55" s="20"/>
      <c r="B55" s="21"/>
      <c r="C55" s="21" t="s">
        <v>685</v>
      </c>
      <c r="D55" s="22"/>
      <c r="E55" s="9"/>
      <c r="F55" s="24">
        <f>Source!AO34</f>
        <v>1886.25</v>
      </c>
      <c r="G55" s="23" t="str">
        <f>Source!DG34</f>
        <v/>
      </c>
      <c r="H55" s="9">
        <f>Source!AV34</f>
        <v>1</v>
      </c>
      <c r="I55" s="9">
        <f>IF(Source!BA34&lt;&gt; 0, Source!BA34, 1)</f>
        <v>1</v>
      </c>
      <c r="J55" s="25">
        <f>Source!S34</f>
        <v>32707.58</v>
      </c>
      <c r="K55" s="25"/>
    </row>
    <row r="56" spans="1:22" ht="14.25" x14ac:dyDescent="0.2">
      <c r="A56" s="20"/>
      <c r="B56" s="21"/>
      <c r="C56" s="21" t="s">
        <v>686</v>
      </c>
      <c r="D56" s="22"/>
      <c r="E56" s="9"/>
      <c r="F56" s="24">
        <f>Source!AM34</f>
        <v>5941.74</v>
      </c>
      <c r="G56" s="23" t="str">
        <f>Source!DE34</f>
        <v/>
      </c>
      <c r="H56" s="9">
        <f>Source!AV34</f>
        <v>1</v>
      </c>
      <c r="I56" s="9">
        <f>IF(Source!BB34&lt;&gt; 0, Source!BB34, 1)</f>
        <v>1</v>
      </c>
      <c r="J56" s="25">
        <f>Source!Q34</f>
        <v>103029.77</v>
      </c>
      <c r="K56" s="25"/>
    </row>
    <row r="57" spans="1:22" ht="14.25" x14ac:dyDescent="0.2">
      <c r="A57" s="20"/>
      <c r="B57" s="21"/>
      <c r="C57" s="21" t="s">
        <v>687</v>
      </c>
      <c r="D57" s="22"/>
      <c r="E57" s="9"/>
      <c r="F57" s="24">
        <f>Source!AN34</f>
        <v>3351.66</v>
      </c>
      <c r="G57" s="23" t="str">
        <f>Source!DF34</f>
        <v/>
      </c>
      <c r="H57" s="9">
        <f>Source!AV34</f>
        <v>1</v>
      </c>
      <c r="I57" s="9">
        <f>IF(Source!BS34&lt;&gt; 0, Source!BS34, 1)</f>
        <v>1</v>
      </c>
      <c r="J57" s="27">
        <f>Source!R34</f>
        <v>58117.78</v>
      </c>
      <c r="K57" s="25"/>
    </row>
    <row r="58" spans="1:22" ht="14.25" x14ac:dyDescent="0.2">
      <c r="A58" s="20"/>
      <c r="B58" s="21"/>
      <c r="C58" s="21" t="s">
        <v>688</v>
      </c>
      <c r="D58" s="22" t="s">
        <v>689</v>
      </c>
      <c r="E58" s="9">
        <f>Source!AT34</f>
        <v>70</v>
      </c>
      <c r="F58" s="24"/>
      <c r="G58" s="23"/>
      <c r="H58" s="9"/>
      <c r="I58" s="9"/>
      <c r="J58" s="25">
        <f>SUM(R54:R57)</f>
        <v>22895.31</v>
      </c>
      <c r="K58" s="25"/>
    </row>
    <row r="59" spans="1:22" ht="14.25" x14ac:dyDescent="0.2">
      <c r="A59" s="20"/>
      <c r="B59" s="21"/>
      <c r="C59" s="21" t="s">
        <v>690</v>
      </c>
      <c r="D59" s="22" t="s">
        <v>689</v>
      </c>
      <c r="E59" s="9">
        <f>Source!AU34</f>
        <v>10</v>
      </c>
      <c r="F59" s="24"/>
      <c r="G59" s="23"/>
      <c r="H59" s="9"/>
      <c r="I59" s="9"/>
      <c r="J59" s="25">
        <f>SUM(T54:T58)</f>
        <v>3270.76</v>
      </c>
      <c r="K59" s="25"/>
    </row>
    <row r="60" spans="1:22" ht="14.25" x14ac:dyDescent="0.2">
      <c r="A60" s="20"/>
      <c r="B60" s="21"/>
      <c r="C60" s="21" t="s">
        <v>691</v>
      </c>
      <c r="D60" s="22" t="s">
        <v>689</v>
      </c>
      <c r="E60" s="9">
        <f>108</f>
        <v>108</v>
      </c>
      <c r="F60" s="24"/>
      <c r="G60" s="23"/>
      <c r="H60" s="9"/>
      <c r="I60" s="9"/>
      <c r="J60" s="25">
        <f>SUM(V54:V59)</f>
        <v>62767.199999999997</v>
      </c>
      <c r="K60" s="25"/>
    </row>
    <row r="61" spans="1:22" ht="14.25" x14ac:dyDescent="0.2">
      <c r="A61" s="20"/>
      <c r="B61" s="21"/>
      <c r="C61" s="21" t="s">
        <v>692</v>
      </c>
      <c r="D61" s="22" t="s">
        <v>693</v>
      </c>
      <c r="E61" s="9">
        <f>Source!AQ34</f>
        <v>8.94</v>
      </c>
      <c r="F61" s="24"/>
      <c r="G61" s="23" t="str">
        <f>Source!DI34</f>
        <v/>
      </c>
      <c r="H61" s="9">
        <f>Source!AV34</f>
        <v>1</v>
      </c>
      <c r="I61" s="9"/>
      <c r="J61" s="25"/>
      <c r="K61" s="25">
        <f>Source!U34</f>
        <v>155.0196</v>
      </c>
    </row>
    <row r="62" spans="1:22" ht="15" x14ac:dyDescent="0.25">
      <c r="A62" s="30"/>
      <c r="B62" s="30"/>
      <c r="C62" s="30"/>
      <c r="D62" s="30"/>
      <c r="E62" s="30"/>
      <c r="F62" s="30"/>
      <c r="G62" s="30"/>
      <c r="H62" s="30"/>
      <c r="I62" s="65">
        <f>J55+J56+J58+J59+J60</f>
        <v>224670.62</v>
      </c>
      <c r="J62" s="65"/>
      <c r="K62" s="31">
        <f>IF(Source!I34&lt;&gt;0, ROUND(I62/Source!I34, 2), 0)</f>
        <v>12956.78</v>
      </c>
      <c r="P62" s="28">
        <f>I62</f>
        <v>224670.62</v>
      </c>
    </row>
    <row r="63" spans="1:22" ht="14.25" x14ac:dyDescent="0.2">
      <c r="C63" s="32" t="str">
        <f>Source!G35</f>
        <v>Стенки + колонны на 4-х верандах</v>
      </c>
    </row>
    <row r="64" spans="1:22" ht="28.5" x14ac:dyDescent="0.2">
      <c r="A64" s="20" t="str">
        <f>Source!E36</f>
        <v>4</v>
      </c>
      <c r="B64" s="21" t="str">
        <f>Source!F36</f>
        <v>1.10-3404-2-1/1</v>
      </c>
      <c r="C64" s="21" t="str">
        <f>Source!G36</f>
        <v>Разборка дощатых покрытий</v>
      </c>
      <c r="D64" s="22" t="str">
        <f>Source!DW36</f>
        <v>100 м2</v>
      </c>
      <c r="E64" s="9">
        <f>Source!I36</f>
        <v>0.81599999999999995</v>
      </c>
      <c r="F64" s="24"/>
      <c r="G64" s="23"/>
      <c r="H64" s="9"/>
      <c r="I64" s="9"/>
      <c r="J64" s="25"/>
      <c r="K64" s="25"/>
      <c r="Q64">
        <f>ROUND((Source!BZ36/100)*ROUND((Source!AF36*Source!AV36)*Source!I36, 2), 2)</f>
        <v>3468.82</v>
      </c>
      <c r="R64">
        <f>Source!X36</f>
        <v>3468.82</v>
      </c>
      <c r="S64">
        <f>ROUND((Source!CA36/100)*ROUND((Source!AF36*Source!AV36)*Source!I36, 2), 2)</f>
        <v>495.55</v>
      </c>
      <c r="T64">
        <f>Source!Y36</f>
        <v>495.55</v>
      </c>
      <c r="U64">
        <f>ROUND((175/100)*ROUND((Source!AE36*Source!AV36)*Source!I36, 2), 2)</f>
        <v>0</v>
      </c>
      <c r="V64">
        <f>ROUND((108/100)*ROUND(Source!CS36*Source!I36, 2), 2)</f>
        <v>0</v>
      </c>
    </row>
    <row r="65" spans="1:22" x14ac:dyDescent="0.2">
      <c r="C65" s="26" t="str">
        <f>"Объем: "&amp;Source!I36&amp;"=81,6/"&amp;"100"</f>
        <v>Объем: 0,816=81,6/100</v>
      </c>
    </row>
    <row r="66" spans="1:22" ht="14.25" x14ac:dyDescent="0.2">
      <c r="A66" s="20"/>
      <c r="B66" s="21"/>
      <c r="C66" s="21" t="s">
        <v>685</v>
      </c>
      <c r="D66" s="22"/>
      <c r="E66" s="9"/>
      <c r="F66" s="24">
        <f>Source!AO36</f>
        <v>6072.86</v>
      </c>
      <c r="G66" s="23" t="str">
        <f>Source!DG36</f>
        <v/>
      </c>
      <c r="H66" s="9">
        <f>Source!AV36</f>
        <v>1</v>
      </c>
      <c r="I66" s="9">
        <f>IF(Source!BA36&lt;&gt; 0, Source!BA36, 1)</f>
        <v>1</v>
      </c>
      <c r="J66" s="25">
        <f>Source!S36</f>
        <v>4955.45</v>
      </c>
      <c r="K66" s="25"/>
    </row>
    <row r="67" spans="1:22" ht="14.25" x14ac:dyDescent="0.2">
      <c r="A67" s="20"/>
      <c r="B67" s="21"/>
      <c r="C67" s="21" t="s">
        <v>688</v>
      </c>
      <c r="D67" s="22" t="s">
        <v>689</v>
      </c>
      <c r="E67" s="9">
        <f>Source!AT36</f>
        <v>70</v>
      </c>
      <c r="F67" s="24"/>
      <c r="G67" s="23"/>
      <c r="H67" s="9"/>
      <c r="I67" s="9"/>
      <c r="J67" s="25">
        <f>SUM(R64:R66)</f>
        <v>3468.82</v>
      </c>
      <c r="K67" s="25"/>
    </row>
    <row r="68" spans="1:22" ht="14.25" x14ac:dyDescent="0.2">
      <c r="A68" s="20"/>
      <c r="B68" s="21"/>
      <c r="C68" s="21" t="s">
        <v>690</v>
      </c>
      <c r="D68" s="22" t="s">
        <v>689</v>
      </c>
      <c r="E68" s="9">
        <f>Source!AU36</f>
        <v>10</v>
      </c>
      <c r="F68" s="24"/>
      <c r="G68" s="23"/>
      <c r="H68" s="9"/>
      <c r="I68" s="9"/>
      <c r="J68" s="25">
        <f>SUM(T64:T67)</f>
        <v>495.55</v>
      </c>
      <c r="K68" s="25"/>
    </row>
    <row r="69" spans="1:22" ht="14.25" x14ac:dyDescent="0.2">
      <c r="A69" s="20"/>
      <c r="B69" s="21"/>
      <c r="C69" s="21" t="s">
        <v>692</v>
      </c>
      <c r="D69" s="22" t="s">
        <v>693</v>
      </c>
      <c r="E69" s="9">
        <f>Source!AQ36</f>
        <v>33.6</v>
      </c>
      <c r="F69" s="24"/>
      <c r="G69" s="23" t="str">
        <f>Source!DI36</f>
        <v/>
      </c>
      <c r="H69" s="9">
        <f>Source!AV36</f>
        <v>1</v>
      </c>
      <c r="I69" s="9"/>
      <c r="J69" s="25"/>
      <c r="K69" s="25">
        <f>Source!U36</f>
        <v>27.4176</v>
      </c>
    </row>
    <row r="70" spans="1:22" ht="15" x14ac:dyDescent="0.25">
      <c r="A70" s="30"/>
      <c r="B70" s="30"/>
      <c r="C70" s="30"/>
      <c r="D70" s="30"/>
      <c r="E70" s="30"/>
      <c r="F70" s="30"/>
      <c r="G70" s="30"/>
      <c r="H70" s="30"/>
      <c r="I70" s="65">
        <f>J66+J67+J68</f>
        <v>8919.82</v>
      </c>
      <c r="J70" s="65"/>
      <c r="K70" s="31">
        <f>IF(Source!I36&lt;&gt;0, ROUND(I70/Source!I36, 2), 0)</f>
        <v>10931.15</v>
      </c>
      <c r="P70" s="28">
        <f>I70</f>
        <v>8919.82</v>
      </c>
    </row>
    <row r="71" spans="1:22" ht="28.5" x14ac:dyDescent="0.2">
      <c r="A71" s="20" t="str">
        <f>Source!E37</f>
        <v>5</v>
      </c>
      <c r="B71" s="21" t="str">
        <f>Source!F37</f>
        <v>1.10-3404-1-2/1</v>
      </c>
      <c r="C71" s="21" t="str">
        <f>Source!G37</f>
        <v>Разборка лаг из досок и брусков</v>
      </c>
      <c r="D71" s="22" t="str">
        <f>Source!DW37</f>
        <v>100 м2</v>
      </c>
      <c r="E71" s="9">
        <f>Source!I37</f>
        <v>0.81599999999999995</v>
      </c>
      <c r="F71" s="24"/>
      <c r="G71" s="23"/>
      <c r="H71" s="9"/>
      <c r="I71" s="9"/>
      <c r="J71" s="25"/>
      <c r="K71" s="25"/>
      <c r="Q71">
        <f>ROUND((Source!BZ37/100)*ROUND((Source!AF37*Source!AV37)*Source!I37, 2), 2)</f>
        <v>791.84</v>
      </c>
      <c r="R71">
        <f>Source!X37</f>
        <v>791.84</v>
      </c>
      <c r="S71">
        <f>ROUND((Source!CA37/100)*ROUND((Source!AF37*Source!AV37)*Source!I37, 2), 2)</f>
        <v>113.12</v>
      </c>
      <c r="T71">
        <f>Source!Y37</f>
        <v>113.12</v>
      </c>
      <c r="U71">
        <f>ROUND((175/100)*ROUND((Source!AE37*Source!AV37)*Source!I37, 2), 2)</f>
        <v>0</v>
      </c>
      <c r="V71">
        <f>ROUND((108/100)*ROUND(Source!CS37*Source!I37, 2), 2)</f>
        <v>0</v>
      </c>
    </row>
    <row r="72" spans="1:22" x14ac:dyDescent="0.2">
      <c r="C72" s="26" t="str">
        <f>"Объем: "&amp;Source!I37&amp;"=81,6/"&amp;"100"</f>
        <v>Объем: 0,816=81,6/100</v>
      </c>
    </row>
    <row r="73" spans="1:22" ht="14.25" x14ac:dyDescent="0.2">
      <c r="A73" s="20"/>
      <c r="B73" s="21"/>
      <c r="C73" s="21" t="s">
        <v>685</v>
      </c>
      <c r="D73" s="22"/>
      <c r="E73" s="9"/>
      <c r="F73" s="24">
        <f>Source!AO37</f>
        <v>1386.28</v>
      </c>
      <c r="G73" s="23" t="str">
        <f>Source!DG37</f>
        <v/>
      </c>
      <c r="H73" s="9">
        <f>Source!AV37</f>
        <v>1</v>
      </c>
      <c r="I73" s="9">
        <f>IF(Source!BA37&lt;&gt; 0, Source!BA37, 1)</f>
        <v>1</v>
      </c>
      <c r="J73" s="25">
        <f>Source!S37</f>
        <v>1131.2</v>
      </c>
      <c r="K73" s="25"/>
    </row>
    <row r="74" spans="1:22" ht="14.25" x14ac:dyDescent="0.2">
      <c r="A74" s="20"/>
      <c r="B74" s="21"/>
      <c r="C74" s="21" t="s">
        <v>688</v>
      </c>
      <c r="D74" s="22" t="s">
        <v>689</v>
      </c>
      <c r="E74" s="9">
        <f>Source!AT37</f>
        <v>70</v>
      </c>
      <c r="F74" s="24"/>
      <c r="G74" s="23"/>
      <c r="H74" s="9"/>
      <c r="I74" s="9"/>
      <c r="J74" s="25">
        <f>SUM(R71:R73)</f>
        <v>791.84</v>
      </c>
      <c r="K74" s="25"/>
    </row>
    <row r="75" spans="1:22" ht="14.25" x14ac:dyDescent="0.2">
      <c r="A75" s="20"/>
      <c r="B75" s="21"/>
      <c r="C75" s="21" t="s">
        <v>690</v>
      </c>
      <c r="D75" s="22" t="s">
        <v>689</v>
      </c>
      <c r="E75" s="9">
        <f>Source!AU37</f>
        <v>10</v>
      </c>
      <c r="F75" s="24"/>
      <c r="G75" s="23"/>
      <c r="H75" s="9"/>
      <c r="I75" s="9"/>
      <c r="J75" s="25">
        <f>SUM(T71:T74)</f>
        <v>113.12</v>
      </c>
      <c r="K75" s="25"/>
    </row>
    <row r="76" spans="1:22" ht="14.25" x14ac:dyDescent="0.2">
      <c r="A76" s="20"/>
      <c r="B76" s="21"/>
      <c r="C76" s="21" t="s">
        <v>692</v>
      </c>
      <c r="D76" s="22" t="s">
        <v>693</v>
      </c>
      <c r="E76" s="9">
        <f>Source!AQ37</f>
        <v>7.67</v>
      </c>
      <c r="F76" s="24"/>
      <c r="G76" s="23" t="str">
        <f>Source!DI37</f>
        <v/>
      </c>
      <c r="H76" s="9">
        <f>Source!AV37</f>
        <v>1</v>
      </c>
      <c r="I76" s="9"/>
      <c r="J76" s="25"/>
      <c r="K76" s="25">
        <f>Source!U37</f>
        <v>6.2587199999999994</v>
      </c>
    </row>
    <row r="77" spans="1:22" ht="15" x14ac:dyDescent="0.25">
      <c r="A77" s="30"/>
      <c r="B77" s="30"/>
      <c r="C77" s="30"/>
      <c r="D77" s="30"/>
      <c r="E77" s="30"/>
      <c r="F77" s="30"/>
      <c r="G77" s="30"/>
      <c r="H77" s="30"/>
      <c r="I77" s="65">
        <f>J73+J74+J75</f>
        <v>2036.1599999999999</v>
      </c>
      <c r="J77" s="65"/>
      <c r="K77" s="31">
        <f>IF(Source!I37&lt;&gt;0, ROUND(I77/Source!I37, 2), 0)</f>
        <v>2495.29</v>
      </c>
      <c r="P77" s="28">
        <f>I77</f>
        <v>2036.1599999999999</v>
      </c>
    </row>
    <row r="78" spans="1:22" ht="42.75" x14ac:dyDescent="0.2">
      <c r="A78" s="20" t="str">
        <f>Source!E38</f>
        <v>6</v>
      </c>
      <c r="B78" s="21" t="str">
        <f>Source!F38</f>
        <v>1.8-3204-1-5/1</v>
      </c>
      <c r="C78" s="21" t="str">
        <f>Source!G38</f>
        <v>Разборка деревянных перегородок каркасных, обшитых досками, неоштукатуренных</v>
      </c>
      <c r="D78" s="22" t="str">
        <f>Source!DW38</f>
        <v>100 м2</v>
      </c>
      <c r="E78" s="9">
        <f>Source!I38</f>
        <v>0.41899999999999998</v>
      </c>
      <c r="F78" s="24"/>
      <c r="G78" s="23"/>
      <c r="H78" s="9"/>
      <c r="I78" s="9"/>
      <c r="J78" s="25"/>
      <c r="K78" s="25"/>
      <c r="Q78">
        <f>ROUND((Source!BZ38/100)*ROUND((Source!AF38*Source!AV38)*Source!I38, 2), 2)</f>
        <v>2299.8000000000002</v>
      </c>
      <c r="R78">
        <f>Source!X38</f>
        <v>2299.8000000000002</v>
      </c>
      <c r="S78">
        <f>ROUND((Source!CA38/100)*ROUND((Source!AF38*Source!AV38)*Source!I38, 2), 2)</f>
        <v>328.54</v>
      </c>
      <c r="T78">
        <f>Source!Y38</f>
        <v>328.54</v>
      </c>
      <c r="U78">
        <f>ROUND((175/100)*ROUND((Source!AE38*Source!AV38)*Source!I38, 2), 2)</f>
        <v>0</v>
      </c>
      <c r="V78">
        <f>ROUND((108/100)*ROUND(Source!CS38*Source!I38, 2), 2)</f>
        <v>0</v>
      </c>
    </row>
    <row r="79" spans="1:22" x14ac:dyDescent="0.2">
      <c r="C79" s="26" t="str">
        <f>"Объем: "&amp;Source!I38&amp;"=41,9/"&amp;"100"</f>
        <v>Объем: 0,419=41,9/100</v>
      </c>
    </row>
    <row r="80" spans="1:22" ht="14.25" x14ac:dyDescent="0.2">
      <c r="A80" s="20"/>
      <c r="B80" s="21"/>
      <c r="C80" s="21" t="s">
        <v>685</v>
      </c>
      <c r="D80" s="22"/>
      <c r="E80" s="9"/>
      <c r="F80" s="24">
        <f>Source!AO38</f>
        <v>7841.12</v>
      </c>
      <c r="G80" s="23" t="str">
        <f>Source!DG38</f>
        <v/>
      </c>
      <c r="H80" s="9">
        <f>Source!AV38</f>
        <v>1</v>
      </c>
      <c r="I80" s="9">
        <f>IF(Source!BA38&lt;&gt; 0, Source!BA38, 1)</f>
        <v>1</v>
      </c>
      <c r="J80" s="25">
        <f>Source!S38</f>
        <v>3285.43</v>
      </c>
      <c r="K80" s="25"/>
    </row>
    <row r="81" spans="1:22" ht="14.25" x14ac:dyDescent="0.2">
      <c r="A81" s="20"/>
      <c r="B81" s="21"/>
      <c r="C81" s="21" t="s">
        <v>688</v>
      </c>
      <c r="D81" s="22" t="s">
        <v>689</v>
      </c>
      <c r="E81" s="9">
        <f>Source!AT38</f>
        <v>70</v>
      </c>
      <c r="F81" s="24"/>
      <c r="G81" s="23"/>
      <c r="H81" s="9"/>
      <c r="I81" s="9"/>
      <c r="J81" s="25">
        <f>SUM(R78:R80)</f>
        <v>2299.8000000000002</v>
      </c>
      <c r="K81" s="25"/>
    </row>
    <row r="82" spans="1:22" ht="14.25" x14ac:dyDescent="0.2">
      <c r="A82" s="20"/>
      <c r="B82" s="21"/>
      <c r="C82" s="21" t="s">
        <v>690</v>
      </c>
      <c r="D82" s="22" t="s">
        <v>689</v>
      </c>
      <c r="E82" s="9">
        <f>Source!AU38</f>
        <v>10</v>
      </c>
      <c r="F82" s="24"/>
      <c r="G82" s="23"/>
      <c r="H82" s="9"/>
      <c r="I82" s="9"/>
      <c r="J82" s="25">
        <f>SUM(T78:T81)</f>
        <v>328.54</v>
      </c>
      <c r="K82" s="25"/>
    </row>
    <row r="83" spans="1:22" ht="14.25" x14ac:dyDescent="0.2">
      <c r="A83" s="20"/>
      <c r="B83" s="21"/>
      <c r="C83" s="21" t="s">
        <v>692</v>
      </c>
      <c r="D83" s="22" t="s">
        <v>693</v>
      </c>
      <c r="E83" s="9">
        <f>Source!AQ38</f>
        <v>53.78</v>
      </c>
      <c r="F83" s="24"/>
      <c r="G83" s="23" t="str">
        <f>Source!DI38</f>
        <v/>
      </c>
      <c r="H83" s="9">
        <f>Source!AV38</f>
        <v>1</v>
      </c>
      <c r="I83" s="9"/>
      <c r="J83" s="25"/>
      <c r="K83" s="25">
        <f>Source!U38</f>
        <v>22.533819999999999</v>
      </c>
    </row>
    <row r="84" spans="1:22" ht="15" x14ac:dyDescent="0.25">
      <c r="A84" s="30"/>
      <c r="B84" s="30"/>
      <c r="C84" s="30"/>
      <c r="D84" s="30"/>
      <c r="E84" s="30"/>
      <c r="F84" s="30"/>
      <c r="G84" s="30"/>
      <c r="H84" s="30"/>
      <c r="I84" s="65">
        <f>J80+J81+J82</f>
        <v>5913.7699999999995</v>
      </c>
      <c r="J84" s="65"/>
      <c r="K84" s="31">
        <f>IF(Source!I38&lt;&gt;0, ROUND(I84/Source!I38, 2), 0)</f>
        <v>14114.01</v>
      </c>
      <c r="P84" s="28">
        <f>I84</f>
        <v>5913.7699999999995</v>
      </c>
    </row>
    <row r="86" spans="1:22" ht="15" x14ac:dyDescent="0.25">
      <c r="A86" s="69" t="str">
        <f>CONCATENATE("Итого по подразделу: ",IF(Source!G40&lt;&gt;"Новый подраздел", Source!G40, ""))</f>
        <v>Итого по подразделу: Демонтажные работы</v>
      </c>
      <c r="B86" s="69"/>
      <c r="C86" s="69"/>
      <c r="D86" s="69"/>
      <c r="E86" s="69"/>
      <c r="F86" s="69"/>
      <c r="G86" s="69"/>
      <c r="H86" s="69"/>
      <c r="I86" s="66">
        <f>SUM(P36:P85)</f>
        <v>256431.84</v>
      </c>
      <c r="J86" s="67"/>
      <c r="K86" s="33"/>
    </row>
    <row r="89" spans="1:22" ht="16.5" x14ac:dyDescent="0.25">
      <c r="A89" s="68" t="str">
        <f>CONCATENATE("Подраздел: ",IF(Source!G70&lt;&gt;"Новый подраздел", Source!G70, ""))</f>
        <v>Подраздел: Строительные работы</v>
      </c>
      <c r="B89" s="68"/>
      <c r="C89" s="68"/>
      <c r="D89" s="68"/>
      <c r="E89" s="68"/>
      <c r="F89" s="68"/>
      <c r="G89" s="68"/>
      <c r="H89" s="68"/>
      <c r="I89" s="68"/>
      <c r="J89" s="68"/>
      <c r="K89" s="68"/>
    </row>
    <row r="90" spans="1:22" ht="42.75" x14ac:dyDescent="0.2">
      <c r="A90" s="20" t="str">
        <f>Source!E74</f>
        <v>7</v>
      </c>
      <c r="B90" s="21" t="str">
        <f>Source!F74</f>
        <v>1.1-3303-2-1/1</v>
      </c>
      <c r="C90" s="21" t="str">
        <f>Source!G74</f>
        <v>Разработка грунта вручную в траншеях глубиной до 2 м без креплений с откосами группа грунтов 1-3</v>
      </c>
      <c r="D90" s="22" t="str">
        <f>Source!DW74</f>
        <v>100 м3</v>
      </c>
      <c r="E90" s="9">
        <f>Source!I74</f>
        <v>0.24</v>
      </c>
      <c r="F90" s="24"/>
      <c r="G90" s="23"/>
      <c r="H90" s="9"/>
      <c r="I90" s="9"/>
      <c r="J90" s="25"/>
      <c r="K90" s="25"/>
      <c r="Q90">
        <f>ROUND((Source!BZ74/100)*ROUND((Source!AF74*Source!AV74)*Source!I74, 2), 2)</f>
        <v>7047.78</v>
      </c>
      <c r="R90">
        <f>Source!X74</f>
        <v>7047.78</v>
      </c>
      <c r="S90">
        <f>ROUND((Source!CA74/100)*ROUND((Source!AF74*Source!AV74)*Source!I74, 2), 2)</f>
        <v>1006.83</v>
      </c>
      <c r="T90">
        <f>Source!Y74</f>
        <v>1006.83</v>
      </c>
      <c r="U90">
        <f>ROUND((175/100)*ROUND((Source!AE74*Source!AV74)*Source!I74, 2), 2)</f>
        <v>0</v>
      </c>
      <c r="V90">
        <f>ROUND((108/100)*ROUND(Source!CS74*Source!I74, 2), 2)</f>
        <v>0</v>
      </c>
    </row>
    <row r="91" spans="1:22" x14ac:dyDescent="0.2">
      <c r="C91" s="26" t="str">
        <f>"Объем: "&amp;Source!I74&amp;"=24/"&amp;"100"</f>
        <v>Объем: 0,24=24/100</v>
      </c>
    </row>
    <row r="92" spans="1:22" ht="14.25" x14ac:dyDescent="0.2">
      <c r="A92" s="20"/>
      <c r="B92" s="21"/>
      <c r="C92" s="21" t="s">
        <v>685</v>
      </c>
      <c r="D92" s="22"/>
      <c r="E92" s="9"/>
      <c r="F92" s="24">
        <f>Source!AO74</f>
        <v>41951.1</v>
      </c>
      <c r="G92" s="23" t="str">
        <f>Source!DG74</f>
        <v/>
      </c>
      <c r="H92" s="9">
        <f>Source!AV74</f>
        <v>1</v>
      </c>
      <c r="I92" s="9">
        <f>IF(Source!BA74&lt;&gt; 0, Source!BA74, 1)</f>
        <v>1</v>
      </c>
      <c r="J92" s="25">
        <f>Source!S74</f>
        <v>10068.26</v>
      </c>
      <c r="K92" s="25"/>
    </row>
    <row r="93" spans="1:22" ht="14.25" x14ac:dyDescent="0.2">
      <c r="A93" s="20"/>
      <c r="B93" s="21"/>
      <c r="C93" s="21" t="s">
        <v>688</v>
      </c>
      <c r="D93" s="22" t="s">
        <v>689</v>
      </c>
      <c r="E93" s="9">
        <f>Source!AT74</f>
        <v>70</v>
      </c>
      <c r="F93" s="24"/>
      <c r="G93" s="23"/>
      <c r="H93" s="9"/>
      <c r="I93" s="9"/>
      <c r="J93" s="25">
        <f>SUM(R90:R92)</f>
        <v>7047.78</v>
      </c>
      <c r="K93" s="25"/>
    </row>
    <row r="94" spans="1:22" ht="14.25" x14ac:dyDescent="0.2">
      <c r="A94" s="20"/>
      <c r="B94" s="21"/>
      <c r="C94" s="21" t="s">
        <v>690</v>
      </c>
      <c r="D94" s="22" t="s">
        <v>689</v>
      </c>
      <c r="E94" s="9">
        <f>Source!AU74</f>
        <v>10</v>
      </c>
      <c r="F94" s="24"/>
      <c r="G94" s="23"/>
      <c r="H94" s="9"/>
      <c r="I94" s="9"/>
      <c r="J94" s="25">
        <f>SUM(T90:T93)</f>
        <v>1006.83</v>
      </c>
      <c r="K94" s="25"/>
    </row>
    <row r="95" spans="1:22" ht="14.25" x14ac:dyDescent="0.2">
      <c r="A95" s="20"/>
      <c r="B95" s="21"/>
      <c r="C95" s="21" t="s">
        <v>692</v>
      </c>
      <c r="D95" s="22" t="s">
        <v>693</v>
      </c>
      <c r="E95" s="9">
        <f>Source!AQ74</f>
        <v>221.6</v>
      </c>
      <c r="F95" s="24"/>
      <c r="G95" s="23" t="str">
        <f>Source!DI74</f>
        <v/>
      </c>
      <c r="H95" s="9">
        <f>Source!AV74</f>
        <v>1</v>
      </c>
      <c r="I95" s="9"/>
      <c r="J95" s="25"/>
      <c r="K95" s="25">
        <f>Source!U74</f>
        <v>53.183999999999997</v>
      </c>
    </row>
    <row r="96" spans="1:22" ht="15" x14ac:dyDescent="0.25">
      <c r="A96" s="30"/>
      <c r="B96" s="30"/>
      <c r="C96" s="30"/>
      <c r="D96" s="30"/>
      <c r="E96" s="30"/>
      <c r="F96" s="30"/>
      <c r="G96" s="30"/>
      <c r="H96" s="30"/>
      <c r="I96" s="65">
        <f>J92+J93+J94</f>
        <v>18122.870000000003</v>
      </c>
      <c r="J96" s="65"/>
      <c r="K96" s="31">
        <f>IF(Source!I74&lt;&gt;0, ROUND(I96/Source!I74, 2), 0)</f>
        <v>75511.960000000006</v>
      </c>
      <c r="P96" s="28">
        <f>I96</f>
        <v>18122.870000000003</v>
      </c>
    </row>
    <row r="97" spans="1:22" ht="28.5" x14ac:dyDescent="0.2">
      <c r="A97" s="20" t="str">
        <f>Source!E75</f>
        <v>8</v>
      </c>
      <c r="B97" s="21" t="str">
        <f>Source!F75</f>
        <v>2.49-3202-4-1/1</v>
      </c>
      <c r="C97" s="21" t="str">
        <f>Source!G75</f>
        <v>Уплотнение грунта пневматическими трамбовками, группа грунтов 1, 2</v>
      </c>
      <c r="D97" s="22" t="str">
        <f>Source!DW75</f>
        <v>100 м3</v>
      </c>
      <c r="E97" s="9">
        <f>Source!I75</f>
        <v>0.24</v>
      </c>
      <c r="F97" s="24"/>
      <c r="G97" s="23"/>
      <c r="H97" s="9"/>
      <c r="I97" s="9"/>
      <c r="J97" s="25"/>
      <c r="K97" s="25"/>
      <c r="Q97">
        <f>ROUND((Source!BZ75/100)*ROUND((Source!AF75*Source!AV75)*Source!I75, 2), 2)</f>
        <v>421.82</v>
      </c>
      <c r="R97">
        <f>Source!X75</f>
        <v>421.82</v>
      </c>
      <c r="S97">
        <f>ROUND((Source!CA75/100)*ROUND((Source!AF75*Source!AV75)*Source!I75, 2), 2)</f>
        <v>60.26</v>
      </c>
      <c r="T97">
        <f>Source!Y75</f>
        <v>60.26</v>
      </c>
      <c r="U97">
        <f>ROUND((175/100)*ROUND((Source!AE75*Source!AV75)*Source!I75, 2), 2)</f>
        <v>2345.9499999999998</v>
      </c>
      <c r="V97">
        <f>ROUND((108/100)*ROUND(Source!CS75*Source!I75, 2), 2)</f>
        <v>1447.78</v>
      </c>
    </row>
    <row r="98" spans="1:22" x14ac:dyDescent="0.2">
      <c r="C98" s="26" t="str">
        <f>"Объем: "&amp;Source!I75&amp;"=24/"&amp;"100"</f>
        <v>Объем: 0,24=24/100</v>
      </c>
    </row>
    <row r="99" spans="1:22" ht="14.25" x14ac:dyDescent="0.2">
      <c r="A99" s="20"/>
      <c r="B99" s="21"/>
      <c r="C99" s="21" t="s">
        <v>685</v>
      </c>
      <c r="D99" s="22"/>
      <c r="E99" s="9"/>
      <c r="F99" s="24">
        <f>Source!AO75</f>
        <v>2510.83</v>
      </c>
      <c r="G99" s="23" t="str">
        <f>Source!DG75</f>
        <v/>
      </c>
      <c r="H99" s="9">
        <f>Source!AV75</f>
        <v>1</v>
      </c>
      <c r="I99" s="9">
        <f>IF(Source!BA75&lt;&gt; 0, Source!BA75, 1)</f>
        <v>1</v>
      </c>
      <c r="J99" s="25">
        <f>Source!S75</f>
        <v>602.6</v>
      </c>
      <c r="K99" s="25"/>
    </row>
    <row r="100" spans="1:22" ht="14.25" x14ac:dyDescent="0.2">
      <c r="A100" s="20"/>
      <c r="B100" s="21"/>
      <c r="C100" s="21" t="s">
        <v>686</v>
      </c>
      <c r="D100" s="22"/>
      <c r="E100" s="9"/>
      <c r="F100" s="24">
        <f>Source!AM75</f>
        <v>9813.1</v>
      </c>
      <c r="G100" s="23" t="str">
        <f>Source!DE75</f>
        <v/>
      </c>
      <c r="H100" s="9">
        <f>Source!AV75</f>
        <v>1</v>
      </c>
      <c r="I100" s="9">
        <f>IF(Source!BB75&lt;&gt; 0, Source!BB75, 1)</f>
        <v>1</v>
      </c>
      <c r="J100" s="25">
        <f>Source!Q75</f>
        <v>2355.14</v>
      </c>
      <c r="K100" s="25"/>
    </row>
    <row r="101" spans="1:22" ht="14.25" x14ac:dyDescent="0.2">
      <c r="A101" s="20"/>
      <c r="B101" s="21"/>
      <c r="C101" s="21" t="s">
        <v>687</v>
      </c>
      <c r="D101" s="22"/>
      <c r="E101" s="9"/>
      <c r="F101" s="24">
        <f>Source!AN75</f>
        <v>5585.58</v>
      </c>
      <c r="G101" s="23" t="str">
        <f>Source!DF75</f>
        <v/>
      </c>
      <c r="H101" s="9">
        <f>Source!AV75</f>
        <v>1</v>
      </c>
      <c r="I101" s="9">
        <f>IF(Source!BS75&lt;&gt; 0, Source!BS75, 1)</f>
        <v>1</v>
      </c>
      <c r="J101" s="27">
        <f>Source!R75</f>
        <v>1340.54</v>
      </c>
      <c r="K101" s="25"/>
    </row>
    <row r="102" spans="1:22" ht="14.25" x14ac:dyDescent="0.2">
      <c r="A102" s="20"/>
      <c r="B102" s="21"/>
      <c r="C102" s="21" t="s">
        <v>688</v>
      </c>
      <c r="D102" s="22" t="s">
        <v>689</v>
      </c>
      <c r="E102" s="9">
        <f>Source!AT75</f>
        <v>70</v>
      </c>
      <c r="F102" s="24"/>
      <c r="G102" s="23"/>
      <c r="H102" s="9"/>
      <c r="I102" s="9"/>
      <c r="J102" s="25">
        <f>SUM(R97:R101)</f>
        <v>421.82</v>
      </c>
      <c r="K102" s="25"/>
    </row>
    <row r="103" spans="1:22" ht="14.25" x14ac:dyDescent="0.2">
      <c r="A103" s="20"/>
      <c r="B103" s="21"/>
      <c r="C103" s="21" t="s">
        <v>690</v>
      </c>
      <c r="D103" s="22" t="s">
        <v>689</v>
      </c>
      <c r="E103" s="9">
        <f>Source!AU75</f>
        <v>10</v>
      </c>
      <c r="F103" s="24"/>
      <c r="G103" s="23"/>
      <c r="H103" s="9"/>
      <c r="I103" s="9"/>
      <c r="J103" s="25">
        <f>SUM(T97:T102)</f>
        <v>60.26</v>
      </c>
      <c r="K103" s="25"/>
    </row>
    <row r="104" spans="1:22" ht="14.25" x14ac:dyDescent="0.2">
      <c r="A104" s="20"/>
      <c r="B104" s="21"/>
      <c r="C104" s="21" t="s">
        <v>691</v>
      </c>
      <c r="D104" s="22" t="s">
        <v>689</v>
      </c>
      <c r="E104" s="9">
        <f>108</f>
        <v>108</v>
      </c>
      <c r="F104" s="24"/>
      <c r="G104" s="23"/>
      <c r="H104" s="9"/>
      <c r="I104" s="9"/>
      <c r="J104" s="25">
        <f>SUM(V97:V103)</f>
        <v>1447.78</v>
      </c>
      <c r="K104" s="25"/>
    </row>
    <row r="105" spans="1:22" ht="14.25" x14ac:dyDescent="0.2">
      <c r="A105" s="20"/>
      <c r="B105" s="21"/>
      <c r="C105" s="21" t="s">
        <v>692</v>
      </c>
      <c r="D105" s="22" t="s">
        <v>693</v>
      </c>
      <c r="E105" s="9">
        <f>Source!AQ75</f>
        <v>12.42</v>
      </c>
      <c r="F105" s="24"/>
      <c r="G105" s="23" t="str">
        <f>Source!DI75</f>
        <v/>
      </c>
      <c r="H105" s="9">
        <f>Source!AV75</f>
        <v>1</v>
      </c>
      <c r="I105" s="9"/>
      <c r="J105" s="25"/>
      <c r="K105" s="25">
        <f>Source!U75</f>
        <v>2.9807999999999999</v>
      </c>
    </row>
    <row r="106" spans="1:22" ht="15" x14ac:dyDescent="0.25">
      <c r="A106" s="30"/>
      <c r="B106" s="30"/>
      <c r="C106" s="30"/>
      <c r="D106" s="30"/>
      <c r="E106" s="30"/>
      <c r="F106" s="30"/>
      <c r="G106" s="30"/>
      <c r="H106" s="30"/>
      <c r="I106" s="65">
        <f>J99+J100+J102+J103+J104</f>
        <v>4887.6000000000004</v>
      </c>
      <c r="J106" s="65"/>
      <c r="K106" s="31">
        <f>IF(Source!I75&lt;&gt;0, ROUND(I106/Source!I75, 2), 0)</f>
        <v>20365</v>
      </c>
      <c r="P106" s="28">
        <f>I106</f>
        <v>4887.6000000000004</v>
      </c>
    </row>
    <row r="107" spans="1:22" ht="28.5" x14ac:dyDescent="0.2">
      <c r="A107" s="20" t="str">
        <f>Source!E76</f>
        <v>9</v>
      </c>
      <c r="B107" s="21" t="str">
        <f>Source!F76</f>
        <v>1.10-3103-1-1/1</v>
      </c>
      <c r="C107" s="21" t="str">
        <f>Source!G76</f>
        <v>Устройство уплотняемых трамбовками подстилающих слоев песчаных</v>
      </c>
      <c r="D107" s="22" t="str">
        <f>Source!DW76</f>
        <v>м3</v>
      </c>
      <c r="E107" s="9">
        <f>Source!I76</f>
        <v>19.2</v>
      </c>
      <c r="F107" s="24"/>
      <c r="G107" s="23"/>
      <c r="H107" s="9"/>
      <c r="I107" s="9"/>
      <c r="J107" s="25"/>
      <c r="K107" s="25"/>
      <c r="Q107">
        <f>ROUND((Source!BZ76/100)*ROUND((Source!AF76*Source!AV76)*Source!I76, 2), 2)</f>
        <v>9550.4599999999991</v>
      </c>
      <c r="R107">
        <f>Source!X76</f>
        <v>9550.4599999999991</v>
      </c>
      <c r="S107">
        <f>ROUND((Source!CA76/100)*ROUND((Source!AF76*Source!AV76)*Source!I76, 2), 2)</f>
        <v>1364.35</v>
      </c>
      <c r="T107">
        <f>Source!Y76</f>
        <v>1364.35</v>
      </c>
      <c r="U107">
        <f>ROUND((175/100)*ROUND((Source!AE76*Source!AV76)*Source!I76, 2), 2)</f>
        <v>5435.82</v>
      </c>
      <c r="V107">
        <f>ROUND((108/100)*ROUND(Source!CS76*Source!I76, 2), 2)</f>
        <v>3354.67</v>
      </c>
    </row>
    <row r="108" spans="1:22" ht="14.25" x14ac:dyDescent="0.2">
      <c r="A108" s="20"/>
      <c r="B108" s="21"/>
      <c r="C108" s="21" t="s">
        <v>685</v>
      </c>
      <c r="D108" s="22"/>
      <c r="E108" s="9"/>
      <c r="F108" s="24">
        <f>Source!AO76</f>
        <v>710.6</v>
      </c>
      <c r="G108" s="23" t="str">
        <f>Source!DG76</f>
        <v/>
      </c>
      <c r="H108" s="9">
        <f>Source!AV76</f>
        <v>1</v>
      </c>
      <c r="I108" s="9">
        <f>IF(Source!BA76&lt;&gt; 0, Source!BA76, 1)</f>
        <v>1</v>
      </c>
      <c r="J108" s="25">
        <f>Source!S76</f>
        <v>13643.52</v>
      </c>
      <c r="K108" s="25"/>
    </row>
    <row r="109" spans="1:22" ht="14.25" x14ac:dyDescent="0.2">
      <c r="A109" s="20"/>
      <c r="B109" s="21"/>
      <c r="C109" s="21" t="s">
        <v>686</v>
      </c>
      <c r="D109" s="22"/>
      <c r="E109" s="9"/>
      <c r="F109" s="24">
        <f>Source!AM76</f>
        <v>284.22000000000003</v>
      </c>
      <c r="G109" s="23" t="str">
        <f>Source!DE76</f>
        <v/>
      </c>
      <c r="H109" s="9">
        <f>Source!AV76</f>
        <v>1</v>
      </c>
      <c r="I109" s="9">
        <f>IF(Source!BB76&lt;&gt; 0, Source!BB76, 1)</f>
        <v>1</v>
      </c>
      <c r="J109" s="25">
        <f>Source!Q76</f>
        <v>5457.02</v>
      </c>
      <c r="K109" s="25"/>
    </row>
    <row r="110" spans="1:22" ht="14.25" x14ac:dyDescent="0.2">
      <c r="A110" s="20"/>
      <c r="B110" s="21"/>
      <c r="C110" s="21" t="s">
        <v>687</v>
      </c>
      <c r="D110" s="22"/>
      <c r="E110" s="9"/>
      <c r="F110" s="24">
        <f>Source!AN76</f>
        <v>161.78</v>
      </c>
      <c r="G110" s="23" t="str">
        <f>Source!DF76</f>
        <v/>
      </c>
      <c r="H110" s="9">
        <f>Source!AV76</f>
        <v>1</v>
      </c>
      <c r="I110" s="9">
        <f>IF(Source!BS76&lt;&gt; 0, Source!BS76, 1)</f>
        <v>1</v>
      </c>
      <c r="J110" s="27">
        <f>Source!R76</f>
        <v>3106.18</v>
      </c>
      <c r="K110" s="25"/>
    </row>
    <row r="111" spans="1:22" ht="14.25" x14ac:dyDescent="0.2">
      <c r="A111" s="20"/>
      <c r="B111" s="21"/>
      <c r="C111" s="21" t="s">
        <v>694</v>
      </c>
      <c r="D111" s="22"/>
      <c r="E111" s="9"/>
      <c r="F111" s="24">
        <f>Source!AL76</f>
        <v>661.67</v>
      </c>
      <c r="G111" s="23" t="str">
        <f>Source!DD76</f>
        <v/>
      </c>
      <c r="H111" s="9">
        <f>Source!AW76</f>
        <v>1</v>
      </c>
      <c r="I111" s="9">
        <f>IF(Source!BC76&lt;&gt; 0, Source!BC76, 1)</f>
        <v>1</v>
      </c>
      <c r="J111" s="25">
        <f>Source!P76</f>
        <v>12704.06</v>
      </c>
      <c r="K111" s="25"/>
    </row>
    <row r="112" spans="1:22" ht="14.25" x14ac:dyDescent="0.2">
      <c r="A112" s="20"/>
      <c r="B112" s="21"/>
      <c r="C112" s="21" t="s">
        <v>688</v>
      </c>
      <c r="D112" s="22" t="s">
        <v>689</v>
      </c>
      <c r="E112" s="9">
        <f>Source!AT76</f>
        <v>70</v>
      </c>
      <c r="F112" s="24"/>
      <c r="G112" s="23"/>
      <c r="H112" s="9"/>
      <c r="I112" s="9"/>
      <c r="J112" s="25">
        <f>SUM(R107:R111)</f>
        <v>9550.4599999999991</v>
      </c>
      <c r="K112" s="25"/>
    </row>
    <row r="113" spans="1:22" ht="14.25" x14ac:dyDescent="0.2">
      <c r="A113" s="20"/>
      <c r="B113" s="21"/>
      <c r="C113" s="21" t="s">
        <v>690</v>
      </c>
      <c r="D113" s="22" t="s">
        <v>689</v>
      </c>
      <c r="E113" s="9">
        <f>Source!AU76</f>
        <v>10</v>
      </c>
      <c r="F113" s="24"/>
      <c r="G113" s="23"/>
      <c r="H113" s="9"/>
      <c r="I113" s="9"/>
      <c r="J113" s="25">
        <f>SUM(T107:T112)</f>
        <v>1364.35</v>
      </c>
      <c r="K113" s="25"/>
    </row>
    <row r="114" spans="1:22" ht="14.25" x14ac:dyDescent="0.2">
      <c r="A114" s="20"/>
      <c r="B114" s="21"/>
      <c r="C114" s="21" t="s">
        <v>691</v>
      </c>
      <c r="D114" s="22" t="s">
        <v>689</v>
      </c>
      <c r="E114" s="9">
        <f>108</f>
        <v>108</v>
      </c>
      <c r="F114" s="24"/>
      <c r="G114" s="23"/>
      <c r="H114" s="9"/>
      <c r="I114" s="9"/>
      <c r="J114" s="25">
        <f>SUM(V107:V113)</f>
        <v>3354.67</v>
      </c>
      <c r="K114" s="25"/>
    </row>
    <row r="115" spans="1:22" ht="14.25" x14ac:dyDescent="0.2">
      <c r="A115" s="20"/>
      <c r="B115" s="21"/>
      <c r="C115" s="21" t="s">
        <v>692</v>
      </c>
      <c r="D115" s="22" t="s">
        <v>693</v>
      </c>
      <c r="E115" s="9">
        <f>Source!AQ76</f>
        <v>3.44</v>
      </c>
      <c r="F115" s="24"/>
      <c r="G115" s="23" t="str">
        <f>Source!DI76</f>
        <v/>
      </c>
      <c r="H115" s="9">
        <f>Source!AV76</f>
        <v>1</v>
      </c>
      <c r="I115" s="9"/>
      <c r="J115" s="25"/>
      <c r="K115" s="25">
        <f>Source!U76</f>
        <v>66.048000000000002</v>
      </c>
    </row>
    <row r="116" spans="1:22" ht="15" x14ac:dyDescent="0.25">
      <c r="A116" s="30"/>
      <c r="B116" s="30"/>
      <c r="C116" s="30"/>
      <c r="D116" s="30"/>
      <c r="E116" s="30"/>
      <c r="F116" s="30"/>
      <c r="G116" s="30"/>
      <c r="H116" s="30"/>
      <c r="I116" s="65">
        <f>J108+J109+J111+J112+J113+J114</f>
        <v>46074.079999999994</v>
      </c>
      <c r="J116" s="65"/>
      <c r="K116" s="31">
        <f>IF(Source!I76&lt;&gt;0, ROUND(I116/Source!I76, 2), 0)</f>
        <v>2399.69</v>
      </c>
      <c r="P116" s="28">
        <f>I116</f>
        <v>46074.079999999994</v>
      </c>
    </row>
    <row r="117" spans="1:22" ht="28.5" x14ac:dyDescent="0.2">
      <c r="A117" s="20" t="str">
        <f>Source!E77</f>
        <v>10</v>
      </c>
      <c r="B117" s="21" t="str">
        <f>Source!F77</f>
        <v>5.3-5202-5-1/1</v>
      </c>
      <c r="C117" s="21" t="str">
        <f>Source!G77</f>
        <v>Устройство бетонного поребрика на бетонном основании</v>
      </c>
      <c r="D117" s="22" t="str">
        <f>Source!DW77</f>
        <v>м</v>
      </c>
      <c r="E117" s="9">
        <f>Source!I77</f>
        <v>56</v>
      </c>
      <c r="F117" s="24"/>
      <c r="G117" s="23"/>
      <c r="H117" s="9"/>
      <c r="I117" s="9"/>
      <c r="J117" s="25"/>
      <c r="K117" s="25"/>
      <c r="Q117">
        <f>ROUND((Source!BZ77/100)*ROUND((Source!AF77*Source!AV77)*Source!I77, 2), 2)</f>
        <v>11269.22</v>
      </c>
      <c r="R117">
        <f>Source!X77</f>
        <v>11269.22</v>
      </c>
      <c r="S117">
        <f>ROUND((Source!CA77/100)*ROUND((Source!AF77*Source!AV77)*Source!I77, 2), 2)</f>
        <v>1609.89</v>
      </c>
      <c r="T117">
        <f>Source!Y77</f>
        <v>1609.89</v>
      </c>
      <c r="U117">
        <f>ROUND((175/100)*ROUND((Source!AE77*Source!AV77)*Source!I77, 2), 2)</f>
        <v>0</v>
      </c>
      <c r="V117">
        <f>ROUND((108/100)*ROUND(Source!CS77*Source!I77, 2), 2)</f>
        <v>0</v>
      </c>
    </row>
    <row r="118" spans="1:22" ht="14.25" x14ac:dyDescent="0.2">
      <c r="A118" s="20"/>
      <c r="B118" s="21"/>
      <c r="C118" s="21" t="s">
        <v>685</v>
      </c>
      <c r="D118" s="22"/>
      <c r="E118" s="9"/>
      <c r="F118" s="24">
        <f>Source!AO77</f>
        <v>287.48</v>
      </c>
      <c r="G118" s="23" t="str">
        <f>Source!DG77</f>
        <v/>
      </c>
      <c r="H118" s="9">
        <f>Source!AV77</f>
        <v>1</v>
      </c>
      <c r="I118" s="9">
        <f>IF(Source!BA77&lt;&gt; 0, Source!BA77, 1)</f>
        <v>1</v>
      </c>
      <c r="J118" s="25">
        <f>Source!S77</f>
        <v>16098.88</v>
      </c>
      <c r="K118" s="25"/>
    </row>
    <row r="119" spans="1:22" ht="14.25" x14ac:dyDescent="0.2">
      <c r="A119" s="20"/>
      <c r="B119" s="21"/>
      <c r="C119" s="21" t="s">
        <v>694</v>
      </c>
      <c r="D119" s="22"/>
      <c r="E119" s="9"/>
      <c r="F119" s="24">
        <f>Source!AL77</f>
        <v>300.83</v>
      </c>
      <c r="G119" s="23" t="str">
        <f>Source!DD77</f>
        <v/>
      </c>
      <c r="H119" s="9">
        <f>Source!AW77</f>
        <v>1</v>
      </c>
      <c r="I119" s="9">
        <f>IF(Source!BC77&lt;&gt; 0, Source!BC77, 1)</f>
        <v>1</v>
      </c>
      <c r="J119" s="25">
        <f>Source!P77</f>
        <v>16846.48</v>
      </c>
      <c r="K119" s="25"/>
    </row>
    <row r="120" spans="1:22" ht="28.5" x14ac:dyDescent="0.2">
      <c r="A120" s="20" t="str">
        <f>Source!E78</f>
        <v>10,1</v>
      </c>
      <c r="B120" s="21" t="str">
        <f>Source!F78</f>
        <v>21.5-3-12</v>
      </c>
      <c r="C120" s="21" t="str">
        <f>Source!G78</f>
        <v>Камни бетонные бортовые, марка БР60.20.8</v>
      </c>
      <c r="D120" s="22" t="str">
        <f>Source!DW78</f>
        <v>м3</v>
      </c>
      <c r="E120" s="9">
        <f>Source!I78</f>
        <v>0.7</v>
      </c>
      <c r="F120" s="24">
        <f>Source!AK78</f>
        <v>9014.9</v>
      </c>
      <c r="G120" s="34" t="s">
        <v>3</v>
      </c>
      <c r="H120" s="9">
        <f>Source!AW78</f>
        <v>1</v>
      </c>
      <c r="I120" s="9">
        <f>IF(Source!BC78&lt;&gt; 0, Source!BC78, 1)</f>
        <v>1</v>
      </c>
      <c r="J120" s="25">
        <f>Source!O78</f>
        <v>6310.43</v>
      </c>
      <c r="K120" s="25"/>
      <c r="Q120">
        <f>ROUND((Source!BZ78/100)*ROUND((Source!AF78*Source!AV78)*Source!I78, 2), 2)</f>
        <v>0</v>
      </c>
      <c r="R120">
        <f>Source!X78</f>
        <v>0</v>
      </c>
      <c r="S120">
        <f>ROUND((Source!CA78/100)*ROUND((Source!AF78*Source!AV78)*Source!I78, 2), 2)</f>
        <v>0</v>
      </c>
      <c r="T120">
        <f>Source!Y78</f>
        <v>0</v>
      </c>
      <c r="U120">
        <f>ROUND((175/100)*ROUND((Source!AE78*Source!AV78)*Source!I78, 2), 2)</f>
        <v>0</v>
      </c>
      <c r="V120">
        <f>ROUND((108/100)*ROUND(Source!CS78*Source!I78, 2), 2)</f>
        <v>0</v>
      </c>
    </row>
    <row r="121" spans="1:22" ht="14.25" x14ac:dyDescent="0.2">
      <c r="A121" s="20"/>
      <c r="B121" s="21"/>
      <c r="C121" s="21" t="s">
        <v>688</v>
      </c>
      <c r="D121" s="22" t="s">
        <v>689</v>
      </c>
      <c r="E121" s="9">
        <f>Source!AT77</f>
        <v>70</v>
      </c>
      <c r="F121" s="24"/>
      <c r="G121" s="23"/>
      <c r="H121" s="9"/>
      <c r="I121" s="9"/>
      <c r="J121" s="25">
        <f>SUM(R117:R120)</f>
        <v>11269.22</v>
      </c>
      <c r="K121" s="25"/>
    </row>
    <row r="122" spans="1:22" ht="14.25" x14ac:dyDescent="0.2">
      <c r="A122" s="20"/>
      <c r="B122" s="21"/>
      <c r="C122" s="21" t="s">
        <v>690</v>
      </c>
      <c r="D122" s="22" t="s">
        <v>689</v>
      </c>
      <c r="E122" s="9">
        <f>Source!AU77</f>
        <v>10</v>
      </c>
      <c r="F122" s="24"/>
      <c r="G122" s="23"/>
      <c r="H122" s="9"/>
      <c r="I122" s="9"/>
      <c r="J122" s="25">
        <f>SUM(T117:T121)</f>
        <v>1609.89</v>
      </c>
      <c r="K122" s="25"/>
    </row>
    <row r="123" spans="1:22" ht="14.25" x14ac:dyDescent="0.2">
      <c r="A123" s="20"/>
      <c r="B123" s="21"/>
      <c r="C123" s="21" t="s">
        <v>692</v>
      </c>
      <c r="D123" s="22" t="s">
        <v>693</v>
      </c>
      <c r="E123" s="9">
        <f>Source!AQ77</f>
        <v>1.1499999999999999</v>
      </c>
      <c r="F123" s="24"/>
      <c r="G123" s="23" t="str">
        <f>Source!DI77</f>
        <v/>
      </c>
      <c r="H123" s="9">
        <f>Source!AV77</f>
        <v>1</v>
      </c>
      <c r="I123" s="9"/>
      <c r="J123" s="25"/>
      <c r="K123" s="25">
        <f>Source!U77</f>
        <v>64.399999999999991</v>
      </c>
    </row>
    <row r="124" spans="1:22" ht="15" x14ac:dyDescent="0.25">
      <c r="A124" s="30"/>
      <c r="B124" s="30"/>
      <c r="C124" s="30"/>
      <c r="D124" s="30"/>
      <c r="E124" s="30"/>
      <c r="F124" s="30"/>
      <c r="G124" s="30"/>
      <c r="H124" s="30"/>
      <c r="I124" s="65">
        <f>J118+J119+J121+J122+SUM(J120:J120)</f>
        <v>52134.9</v>
      </c>
      <c r="J124" s="65"/>
      <c r="K124" s="31">
        <f>IF(Source!I77&lt;&gt;0, ROUND(I124/Source!I77, 2), 0)</f>
        <v>930.98</v>
      </c>
      <c r="P124" s="28">
        <f>I124</f>
        <v>52134.9</v>
      </c>
    </row>
    <row r="125" spans="1:22" ht="28.5" x14ac:dyDescent="0.2">
      <c r="A125" s="20" t="str">
        <f>Source!E79</f>
        <v>11</v>
      </c>
      <c r="B125" s="21" t="str">
        <f>Source!F79</f>
        <v>1.10-3103-1-3/1</v>
      </c>
      <c r="C125" s="21" t="str">
        <f>Source!G79</f>
        <v>Устройство уплотняемых трамбовками подстилающих слоев щебеночных</v>
      </c>
      <c r="D125" s="22" t="str">
        <f>Source!DW79</f>
        <v>м3</v>
      </c>
      <c r="E125" s="9">
        <f>Source!I79</f>
        <v>14.4</v>
      </c>
      <c r="F125" s="24"/>
      <c r="G125" s="23"/>
      <c r="H125" s="9"/>
      <c r="I125" s="9"/>
      <c r="J125" s="25"/>
      <c r="K125" s="25"/>
      <c r="Q125">
        <f>ROUND((Source!BZ79/100)*ROUND((Source!AF79*Source!AV79)*Source!I79, 2), 2)</f>
        <v>8098.68</v>
      </c>
      <c r="R125">
        <f>Source!X79</f>
        <v>8098.68</v>
      </c>
      <c r="S125">
        <f>ROUND((Source!CA79/100)*ROUND((Source!AF79*Source!AV79)*Source!I79, 2), 2)</f>
        <v>1156.95</v>
      </c>
      <c r="T125">
        <f>Source!Y79</f>
        <v>1156.95</v>
      </c>
      <c r="U125">
        <f>ROUND((175/100)*ROUND((Source!AE79*Source!AV79)*Source!I79, 2), 2)</f>
        <v>15985.38</v>
      </c>
      <c r="V125">
        <f>ROUND((108/100)*ROUND(Source!CS79*Source!I79, 2), 2)</f>
        <v>9865.26</v>
      </c>
    </row>
    <row r="126" spans="1:22" ht="14.25" x14ac:dyDescent="0.2">
      <c r="A126" s="20"/>
      <c r="B126" s="21"/>
      <c r="C126" s="21" t="s">
        <v>685</v>
      </c>
      <c r="D126" s="22"/>
      <c r="E126" s="9"/>
      <c r="F126" s="24">
        <f>Source!AO79</f>
        <v>803.44</v>
      </c>
      <c r="G126" s="23" t="str">
        <f>Source!DG79</f>
        <v/>
      </c>
      <c r="H126" s="9">
        <f>Source!AV79</f>
        <v>1</v>
      </c>
      <c r="I126" s="9">
        <f>IF(Source!BA79&lt;&gt; 0, Source!BA79, 1)</f>
        <v>1</v>
      </c>
      <c r="J126" s="25">
        <f>Source!S79</f>
        <v>11569.54</v>
      </c>
      <c r="K126" s="25"/>
    </row>
    <row r="127" spans="1:22" ht="14.25" x14ac:dyDescent="0.2">
      <c r="A127" s="20"/>
      <c r="B127" s="21"/>
      <c r="C127" s="21" t="s">
        <v>686</v>
      </c>
      <c r="D127" s="22"/>
      <c r="E127" s="9"/>
      <c r="F127" s="24">
        <f>Source!AM79</f>
        <v>1114.45</v>
      </c>
      <c r="G127" s="23" t="str">
        <f>Source!DE79</f>
        <v/>
      </c>
      <c r="H127" s="9">
        <f>Source!AV79</f>
        <v>1</v>
      </c>
      <c r="I127" s="9">
        <f>IF(Source!BB79&lt;&gt; 0, Source!BB79, 1)</f>
        <v>1</v>
      </c>
      <c r="J127" s="25">
        <f>Source!Q79</f>
        <v>16048.08</v>
      </c>
      <c r="K127" s="25"/>
    </row>
    <row r="128" spans="1:22" ht="14.25" x14ac:dyDescent="0.2">
      <c r="A128" s="20"/>
      <c r="B128" s="21"/>
      <c r="C128" s="21" t="s">
        <v>687</v>
      </c>
      <c r="D128" s="22"/>
      <c r="E128" s="9"/>
      <c r="F128" s="24">
        <f>Source!AN79</f>
        <v>634.34</v>
      </c>
      <c r="G128" s="23" t="str">
        <f>Source!DF79</f>
        <v/>
      </c>
      <c r="H128" s="9">
        <f>Source!AV79</f>
        <v>1</v>
      </c>
      <c r="I128" s="9">
        <f>IF(Source!BS79&lt;&gt; 0, Source!BS79, 1)</f>
        <v>1</v>
      </c>
      <c r="J128" s="27">
        <f>Source!R79</f>
        <v>9134.5</v>
      </c>
      <c r="K128" s="25"/>
    </row>
    <row r="129" spans="1:22" ht="14.25" x14ac:dyDescent="0.2">
      <c r="A129" s="20"/>
      <c r="B129" s="21"/>
      <c r="C129" s="21" t="s">
        <v>694</v>
      </c>
      <c r="D129" s="22"/>
      <c r="E129" s="9"/>
      <c r="F129" s="24">
        <f>Source!AL79</f>
        <v>1628.86</v>
      </c>
      <c r="G129" s="23" t="str">
        <f>Source!DD79</f>
        <v/>
      </c>
      <c r="H129" s="9">
        <f>Source!AW79</f>
        <v>1</v>
      </c>
      <c r="I129" s="9">
        <f>IF(Source!BC79&lt;&gt; 0, Source!BC79, 1)</f>
        <v>1</v>
      </c>
      <c r="J129" s="25">
        <f>Source!P79</f>
        <v>23455.58</v>
      </c>
      <c r="K129" s="25"/>
    </row>
    <row r="130" spans="1:22" ht="14.25" x14ac:dyDescent="0.2">
      <c r="A130" s="20"/>
      <c r="B130" s="21"/>
      <c r="C130" s="21" t="s">
        <v>688</v>
      </c>
      <c r="D130" s="22" t="s">
        <v>689</v>
      </c>
      <c r="E130" s="9">
        <f>Source!AT79</f>
        <v>70</v>
      </c>
      <c r="F130" s="24"/>
      <c r="G130" s="23"/>
      <c r="H130" s="9"/>
      <c r="I130" s="9"/>
      <c r="J130" s="25">
        <f>SUM(R125:R129)</f>
        <v>8098.68</v>
      </c>
      <c r="K130" s="25"/>
    </row>
    <row r="131" spans="1:22" ht="14.25" x14ac:dyDescent="0.2">
      <c r="A131" s="20"/>
      <c r="B131" s="21"/>
      <c r="C131" s="21" t="s">
        <v>690</v>
      </c>
      <c r="D131" s="22" t="s">
        <v>689</v>
      </c>
      <c r="E131" s="9">
        <f>Source!AU79</f>
        <v>10</v>
      </c>
      <c r="F131" s="24"/>
      <c r="G131" s="23"/>
      <c r="H131" s="9"/>
      <c r="I131" s="9"/>
      <c r="J131" s="25">
        <f>SUM(T125:T130)</f>
        <v>1156.95</v>
      </c>
      <c r="K131" s="25"/>
    </row>
    <row r="132" spans="1:22" ht="14.25" x14ac:dyDescent="0.2">
      <c r="A132" s="20"/>
      <c r="B132" s="21"/>
      <c r="C132" s="21" t="s">
        <v>691</v>
      </c>
      <c r="D132" s="22" t="s">
        <v>689</v>
      </c>
      <c r="E132" s="9">
        <f>108</f>
        <v>108</v>
      </c>
      <c r="F132" s="24"/>
      <c r="G132" s="23"/>
      <c r="H132" s="9"/>
      <c r="I132" s="9"/>
      <c r="J132" s="25">
        <f>SUM(V125:V131)</f>
        <v>9865.26</v>
      </c>
      <c r="K132" s="25"/>
    </row>
    <row r="133" spans="1:22" ht="14.25" x14ac:dyDescent="0.2">
      <c r="A133" s="20"/>
      <c r="B133" s="21"/>
      <c r="C133" s="21" t="s">
        <v>692</v>
      </c>
      <c r="D133" s="22" t="s">
        <v>693</v>
      </c>
      <c r="E133" s="9">
        <f>Source!AQ79</f>
        <v>3.73</v>
      </c>
      <c r="F133" s="24"/>
      <c r="G133" s="23" t="str">
        <f>Source!DI79</f>
        <v/>
      </c>
      <c r="H133" s="9">
        <f>Source!AV79</f>
        <v>1</v>
      </c>
      <c r="I133" s="9"/>
      <c r="J133" s="25"/>
      <c r="K133" s="25">
        <f>Source!U79</f>
        <v>53.712000000000003</v>
      </c>
    </row>
    <row r="134" spans="1:22" ht="15" x14ac:dyDescent="0.25">
      <c r="A134" s="30"/>
      <c r="B134" s="30"/>
      <c r="C134" s="30"/>
      <c r="D134" s="30"/>
      <c r="E134" s="30"/>
      <c r="F134" s="30"/>
      <c r="G134" s="30"/>
      <c r="H134" s="30"/>
      <c r="I134" s="65">
        <f>J126+J127+J129+J130+J131+J132</f>
        <v>70194.09</v>
      </c>
      <c r="J134" s="65"/>
      <c r="K134" s="31">
        <f>IF(Source!I79&lt;&gt;0, ROUND(I134/Source!I79, 2), 0)</f>
        <v>4874.59</v>
      </c>
      <c r="P134" s="28">
        <f>I134</f>
        <v>70194.09</v>
      </c>
    </row>
    <row r="135" spans="1:22" ht="57" x14ac:dyDescent="0.2">
      <c r="A135" s="20" t="str">
        <f>Source!E80</f>
        <v>12</v>
      </c>
      <c r="B135" s="21" t="str">
        <f>Source!F80</f>
        <v>1.10-3303-2-3/1</v>
      </c>
      <c r="C135" s="21" t="str">
        <f>Source!G80</f>
        <v>Устройство покрытий из асфальтобетонных горячих мелкозернистых смесей, марка II, тип В,  толщиной 25 мм</v>
      </c>
      <c r="D135" s="22" t="str">
        <f>Source!DW80</f>
        <v>100 м2</v>
      </c>
      <c r="E135" s="9">
        <f>Source!I80</f>
        <v>0.96</v>
      </c>
      <c r="F135" s="24"/>
      <c r="G135" s="23"/>
      <c r="H135" s="9"/>
      <c r="I135" s="9"/>
      <c r="J135" s="25"/>
      <c r="K135" s="25"/>
      <c r="Q135">
        <f>ROUND((Source!BZ80/100)*ROUND((Source!AF80*Source!AV80)*Source!I80, 2), 2)</f>
        <v>2186.11</v>
      </c>
      <c r="R135">
        <f>Source!X80</f>
        <v>2186.11</v>
      </c>
      <c r="S135">
        <f>ROUND((Source!CA80/100)*ROUND((Source!AF80*Source!AV80)*Source!I80, 2), 2)</f>
        <v>312.3</v>
      </c>
      <c r="T135">
        <f>Source!Y80</f>
        <v>312.3</v>
      </c>
      <c r="U135">
        <f>ROUND((175/100)*ROUND((Source!AE80*Source!AV80)*Source!I80, 2), 2)</f>
        <v>2029.49</v>
      </c>
      <c r="V135">
        <f>ROUND((108/100)*ROUND(Source!CS80*Source!I80, 2), 2)</f>
        <v>1252.49</v>
      </c>
    </row>
    <row r="136" spans="1:22" x14ac:dyDescent="0.2">
      <c r="C136" s="26" t="str">
        <f>"Объем: "&amp;Source!I80&amp;"=96/"&amp;"100"</f>
        <v>Объем: 0,96=96/100</v>
      </c>
    </row>
    <row r="137" spans="1:22" ht="14.25" x14ac:dyDescent="0.2">
      <c r="A137" s="20"/>
      <c r="B137" s="21"/>
      <c r="C137" s="21" t="s">
        <v>685</v>
      </c>
      <c r="D137" s="22"/>
      <c r="E137" s="9"/>
      <c r="F137" s="24">
        <f>Source!AO80</f>
        <v>3253.15</v>
      </c>
      <c r="G137" s="23" t="str">
        <f>Source!DG80</f>
        <v/>
      </c>
      <c r="H137" s="9">
        <f>Source!AV80</f>
        <v>1</v>
      </c>
      <c r="I137" s="9">
        <f>IF(Source!BA80&lt;&gt; 0, Source!BA80, 1)</f>
        <v>1</v>
      </c>
      <c r="J137" s="25">
        <f>Source!S80</f>
        <v>3123.02</v>
      </c>
      <c r="K137" s="25"/>
    </row>
    <row r="138" spans="1:22" ht="14.25" x14ac:dyDescent="0.2">
      <c r="A138" s="20"/>
      <c r="B138" s="21"/>
      <c r="C138" s="21" t="s">
        <v>686</v>
      </c>
      <c r="D138" s="22"/>
      <c r="E138" s="9"/>
      <c r="F138" s="24">
        <f>Source!AM80</f>
        <v>2014.79</v>
      </c>
      <c r="G138" s="23" t="str">
        <f>Source!DE80</f>
        <v/>
      </c>
      <c r="H138" s="9">
        <f>Source!AV80</f>
        <v>1</v>
      </c>
      <c r="I138" s="9">
        <f>IF(Source!BB80&lt;&gt; 0, Source!BB80, 1)</f>
        <v>1</v>
      </c>
      <c r="J138" s="25">
        <f>Source!Q80</f>
        <v>1934.2</v>
      </c>
      <c r="K138" s="25"/>
    </row>
    <row r="139" spans="1:22" ht="14.25" x14ac:dyDescent="0.2">
      <c r="A139" s="20"/>
      <c r="B139" s="21"/>
      <c r="C139" s="21" t="s">
        <v>687</v>
      </c>
      <c r="D139" s="22"/>
      <c r="E139" s="9"/>
      <c r="F139" s="24">
        <f>Source!AN80</f>
        <v>1208.03</v>
      </c>
      <c r="G139" s="23" t="str">
        <f>Source!DF80</f>
        <v/>
      </c>
      <c r="H139" s="9">
        <f>Source!AV80</f>
        <v>1</v>
      </c>
      <c r="I139" s="9">
        <f>IF(Source!BS80&lt;&gt; 0, Source!BS80, 1)</f>
        <v>1</v>
      </c>
      <c r="J139" s="27">
        <f>Source!R80</f>
        <v>1159.71</v>
      </c>
      <c r="K139" s="25"/>
    </row>
    <row r="140" spans="1:22" ht="14.25" x14ac:dyDescent="0.2">
      <c r="A140" s="20"/>
      <c r="B140" s="21"/>
      <c r="C140" s="21" t="s">
        <v>694</v>
      </c>
      <c r="D140" s="22"/>
      <c r="E140" s="9"/>
      <c r="F140" s="24">
        <f>Source!AL80</f>
        <v>17411.05</v>
      </c>
      <c r="G140" s="23" t="str">
        <f>Source!DD80</f>
        <v/>
      </c>
      <c r="H140" s="9">
        <f>Source!AW80</f>
        <v>1</v>
      </c>
      <c r="I140" s="9">
        <f>IF(Source!BC80&lt;&gt; 0, Source!BC80, 1)</f>
        <v>1</v>
      </c>
      <c r="J140" s="25">
        <f>Source!P80</f>
        <v>16714.61</v>
      </c>
      <c r="K140" s="25"/>
    </row>
    <row r="141" spans="1:22" ht="14.25" x14ac:dyDescent="0.2">
      <c r="A141" s="20"/>
      <c r="B141" s="21"/>
      <c r="C141" s="21" t="s">
        <v>688</v>
      </c>
      <c r="D141" s="22" t="s">
        <v>689</v>
      </c>
      <c r="E141" s="9">
        <f>Source!AT80</f>
        <v>70</v>
      </c>
      <c r="F141" s="24"/>
      <c r="G141" s="23"/>
      <c r="H141" s="9"/>
      <c r="I141" s="9"/>
      <c r="J141" s="25">
        <f>SUM(R135:R140)</f>
        <v>2186.11</v>
      </c>
      <c r="K141" s="25"/>
    </row>
    <row r="142" spans="1:22" ht="14.25" x14ac:dyDescent="0.2">
      <c r="A142" s="20"/>
      <c r="B142" s="21"/>
      <c r="C142" s="21" t="s">
        <v>690</v>
      </c>
      <c r="D142" s="22" t="s">
        <v>689</v>
      </c>
      <c r="E142" s="9">
        <f>Source!AU80</f>
        <v>10</v>
      </c>
      <c r="F142" s="24"/>
      <c r="G142" s="23"/>
      <c r="H142" s="9"/>
      <c r="I142" s="9"/>
      <c r="J142" s="25">
        <f>SUM(T135:T141)</f>
        <v>312.3</v>
      </c>
      <c r="K142" s="25"/>
    </row>
    <row r="143" spans="1:22" ht="14.25" x14ac:dyDescent="0.2">
      <c r="A143" s="20"/>
      <c r="B143" s="21"/>
      <c r="C143" s="21" t="s">
        <v>691</v>
      </c>
      <c r="D143" s="22" t="s">
        <v>689</v>
      </c>
      <c r="E143" s="9">
        <f>108</f>
        <v>108</v>
      </c>
      <c r="F143" s="24"/>
      <c r="G143" s="23"/>
      <c r="H143" s="9"/>
      <c r="I143" s="9"/>
      <c r="J143" s="25">
        <f>SUM(V135:V142)</f>
        <v>1252.49</v>
      </c>
      <c r="K143" s="25"/>
    </row>
    <row r="144" spans="1:22" ht="14.25" x14ac:dyDescent="0.2">
      <c r="A144" s="20"/>
      <c r="B144" s="21"/>
      <c r="C144" s="21" t="s">
        <v>692</v>
      </c>
      <c r="D144" s="22" t="s">
        <v>693</v>
      </c>
      <c r="E144" s="9">
        <f>Source!AQ80</f>
        <v>16.440000000000001</v>
      </c>
      <c r="F144" s="24"/>
      <c r="G144" s="23" t="str">
        <f>Source!DI80</f>
        <v/>
      </c>
      <c r="H144" s="9">
        <f>Source!AV80</f>
        <v>1</v>
      </c>
      <c r="I144" s="9"/>
      <c r="J144" s="25"/>
      <c r="K144" s="25">
        <f>Source!U80</f>
        <v>15.782400000000001</v>
      </c>
    </row>
    <row r="145" spans="1:22" ht="15" x14ac:dyDescent="0.25">
      <c r="A145" s="30"/>
      <c r="B145" s="30"/>
      <c r="C145" s="30"/>
      <c r="D145" s="30"/>
      <c r="E145" s="30"/>
      <c r="F145" s="30"/>
      <c r="G145" s="30"/>
      <c r="H145" s="30"/>
      <c r="I145" s="65">
        <f>J137+J138+J140+J141+J142+J143</f>
        <v>25522.730000000003</v>
      </c>
      <c r="J145" s="65"/>
      <c r="K145" s="31">
        <f>IF(Source!I80&lt;&gt;0, ROUND(I145/Source!I80, 2), 0)</f>
        <v>26586.18</v>
      </c>
      <c r="P145" s="28">
        <f>I145</f>
        <v>25522.730000000003</v>
      </c>
    </row>
    <row r="146" spans="1:22" ht="28.5" x14ac:dyDescent="0.2">
      <c r="A146" s="20" t="str">
        <f>Source!E81</f>
        <v>13</v>
      </c>
      <c r="B146" s="21" t="str">
        <f>Source!F81</f>
        <v>1.10-3303-2-4/1</v>
      </c>
      <c r="C146" s="21" t="str">
        <f>Source!G81</f>
        <v>Добавлять или исключать на 5 мм изменения толщины к поз.10-3303-2-3</v>
      </c>
      <c r="D146" s="22" t="str">
        <f>Source!DW81</f>
        <v>100 м2</v>
      </c>
      <c r="E146" s="9">
        <f>Source!I81</f>
        <v>0.96</v>
      </c>
      <c r="F146" s="24"/>
      <c r="G146" s="23"/>
      <c r="H146" s="9"/>
      <c r="I146" s="9"/>
      <c r="J146" s="25"/>
      <c r="K146" s="25"/>
      <c r="Q146">
        <f>ROUND((Source!BZ81/100)*ROUND((Source!AF81*Source!AV81)*Source!I81, 2), 2)</f>
        <v>290.55</v>
      </c>
      <c r="R146">
        <f>Source!X81</f>
        <v>290.55</v>
      </c>
      <c r="S146">
        <f>ROUND((Source!CA81/100)*ROUND((Source!AF81*Source!AV81)*Source!I81, 2), 2)</f>
        <v>41.51</v>
      </c>
      <c r="T146">
        <f>Source!Y81</f>
        <v>41.51</v>
      </c>
      <c r="U146">
        <f>ROUND((175/100)*ROUND((Source!AE81*Source!AV81)*Source!I81, 2), 2)</f>
        <v>100.73</v>
      </c>
      <c r="V146">
        <f>ROUND((108/100)*ROUND(Source!CS81*Source!I81, 2), 2)</f>
        <v>62.16</v>
      </c>
    </row>
    <row r="147" spans="1:22" x14ac:dyDescent="0.2">
      <c r="C147" s="26" t="str">
        <f>"Объем: "&amp;Source!I81&amp;"=96/"&amp;"100"</f>
        <v>Объем: 0,96=96/100</v>
      </c>
    </row>
    <row r="148" spans="1:22" ht="14.25" x14ac:dyDescent="0.2">
      <c r="A148" s="20"/>
      <c r="B148" s="21"/>
      <c r="C148" s="21" t="s">
        <v>685</v>
      </c>
      <c r="D148" s="22"/>
      <c r="E148" s="9"/>
      <c r="F148" s="24">
        <f>Source!AO81</f>
        <v>432.36</v>
      </c>
      <c r="G148" s="23" t="str">
        <f>Source!DG81</f>
        <v/>
      </c>
      <c r="H148" s="9">
        <f>Source!AV81</f>
        <v>1</v>
      </c>
      <c r="I148" s="9">
        <f>IF(Source!BA81&lt;&gt; 0, Source!BA81, 1)</f>
        <v>1</v>
      </c>
      <c r="J148" s="25">
        <f>Source!S81</f>
        <v>415.07</v>
      </c>
      <c r="K148" s="25"/>
    </row>
    <row r="149" spans="1:22" ht="14.25" x14ac:dyDescent="0.2">
      <c r="A149" s="20"/>
      <c r="B149" s="21"/>
      <c r="C149" s="21" t="s">
        <v>686</v>
      </c>
      <c r="D149" s="22"/>
      <c r="E149" s="9"/>
      <c r="F149" s="24">
        <f>Source!AM81</f>
        <v>105.24</v>
      </c>
      <c r="G149" s="23" t="str">
        <f>Source!DE81</f>
        <v/>
      </c>
      <c r="H149" s="9">
        <f>Source!AV81</f>
        <v>1</v>
      </c>
      <c r="I149" s="9">
        <f>IF(Source!BB81&lt;&gt; 0, Source!BB81, 1)</f>
        <v>1</v>
      </c>
      <c r="J149" s="25">
        <f>Source!Q81</f>
        <v>101.03</v>
      </c>
      <c r="K149" s="25"/>
    </row>
    <row r="150" spans="1:22" ht="14.25" x14ac:dyDescent="0.2">
      <c r="A150" s="20"/>
      <c r="B150" s="21"/>
      <c r="C150" s="21" t="s">
        <v>687</v>
      </c>
      <c r="D150" s="22"/>
      <c r="E150" s="9"/>
      <c r="F150" s="24">
        <f>Source!AN81</f>
        <v>59.96</v>
      </c>
      <c r="G150" s="23" t="str">
        <f>Source!DF81</f>
        <v/>
      </c>
      <c r="H150" s="9">
        <f>Source!AV81</f>
        <v>1</v>
      </c>
      <c r="I150" s="9">
        <f>IF(Source!BS81&lt;&gt; 0, Source!BS81, 1)</f>
        <v>1</v>
      </c>
      <c r="J150" s="27">
        <f>Source!R81</f>
        <v>57.56</v>
      </c>
      <c r="K150" s="25"/>
    </row>
    <row r="151" spans="1:22" ht="14.25" x14ac:dyDescent="0.2">
      <c r="A151" s="20"/>
      <c r="B151" s="21"/>
      <c r="C151" s="21" t="s">
        <v>694</v>
      </c>
      <c r="D151" s="22"/>
      <c r="E151" s="9"/>
      <c r="F151" s="24">
        <f>Source!AL81</f>
        <v>2972.84</v>
      </c>
      <c r="G151" s="23" t="str">
        <f>Source!DD81</f>
        <v/>
      </c>
      <c r="H151" s="9">
        <f>Source!AW81</f>
        <v>1</v>
      </c>
      <c r="I151" s="9">
        <f>IF(Source!BC81&lt;&gt; 0, Source!BC81, 1)</f>
        <v>1</v>
      </c>
      <c r="J151" s="25">
        <f>Source!P81</f>
        <v>2853.93</v>
      </c>
      <c r="K151" s="25"/>
    </row>
    <row r="152" spans="1:22" ht="14.25" x14ac:dyDescent="0.2">
      <c r="A152" s="20"/>
      <c r="B152" s="21"/>
      <c r="C152" s="21" t="s">
        <v>688</v>
      </c>
      <c r="D152" s="22" t="s">
        <v>689</v>
      </c>
      <c r="E152" s="9">
        <f>Source!AT81</f>
        <v>70</v>
      </c>
      <c r="F152" s="24"/>
      <c r="G152" s="23"/>
      <c r="H152" s="9"/>
      <c r="I152" s="9"/>
      <c r="J152" s="25">
        <f>SUM(R146:R151)</f>
        <v>290.55</v>
      </c>
      <c r="K152" s="25"/>
    </row>
    <row r="153" spans="1:22" ht="14.25" x14ac:dyDescent="0.2">
      <c r="A153" s="20"/>
      <c r="B153" s="21"/>
      <c r="C153" s="21" t="s">
        <v>690</v>
      </c>
      <c r="D153" s="22" t="s">
        <v>689</v>
      </c>
      <c r="E153" s="9">
        <f>Source!AU81</f>
        <v>10</v>
      </c>
      <c r="F153" s="24"/>
      <c r="G153" s="23"/>
      <c r="H153" s="9"/>
      <c r="I153" s="9"/>
      <c r="J153" s="25">
        <f>SUM(T146:T152)</f>
        <v>41.51</v>
      </c>
      <c r="K153" s="25"/>
    </row>
    <row r="154" spans="1:22" ht="14.25" x14ac:dyDescent="0.2">
      <c r="A154" s="20"/>
      <c r="B154" s="21"/>
      <c r="C154" s="21" t="s">
        <v>691</v>
      </c>
      <c r="D154" s="22" t="s">
        <v>689</v>
      </c>
      <c r="E154" s="9">
        <f>108</f>
        <v>108</v>
      </c>
      <c r="F154" s="24"/>
      <c r="G154" s="23"/>
      <c r="H154" s="9"/>
      <c r="I154" s="9"/>
      <c r="J154" s="25">
        <f>SUM(V146:V153)</f>
        <v>62.16</v>
      </c>
      <c r="K154" s="25"/>
    </row>
    <row r="155" spans="1:22" ht="14.25" x14ac:dyDescent="0.2">
      <c r="A155" s="20"/>
      <c r="B155" s="21"/>
      <c r="C155" s="21" t="s">
        <v>692</v>
      </c>
      <c r="D155" s="22" t="s">
        <v>693</v>
      </c>
      <c r="E155" s="9">
        <f>Source!AQ81</f>
        <v>2.31</v>
      </c>
      <c r="F155" s="24"/>
      <c r="G155" s="23" t="str">
        <f>Source!DI81</f>
        <v/>
      </c>
      <c r="H155" s="9">
        <f>Source!AV81</f>
        <v>1</v>
      </c>
      <c r="I155" s="9"/>
      <c r="J155" s="25"/>
      <c r="K155" s="25">
        <f>Source!U81</f>
        <v>2.2176</v>
      </c>
    </row>
    <row r="156" spans="1:22" ht="15" x14ac:dyDescent="0.25">
      <c r="A156" s="30"/>
      <c r="B156" s="30"/>
      <c r="C156" s="30"/>
      <c r="D156" s="30"/>
      <c r="E156" s="30"/>
      <c r="F156" s="30"/>
      <c r="G156" s="30"/>
      <c r="H156" s="30"/>
      <c r="I156" s="65">
        <f>J148+J149+J151+J152+J153+J154</f>
        <v>3764.25</v>
      </c>
      <c r="J156" s="65"/>
      <c r="K156" s="31">
        <f>IF(Source!I81&lt;&gt;0, ROUND(I156/Source!I81, 2), 0)</f>
        <v>3921.09</v>
      </c>
      <c r="P156" s="28">
        <f>I156</f>
        <v>3764.25</v>
      </c>
    </row>
    <row r="157" spans="1:22" ht="57" x14ac:dyDescent="0.2">
      <c r="A157" s="20" t="str">
        <f>Source!E82</f>
        <v>14</v>
      </c>
      <c r="B157" s="21" t="str">
        <f>Source!F82</f>
        <v>5.3-3103-11-1/1</v>
      </c>
      <c r="C157" s="21" t="str">
        <f>Source!G82</f>
        <v>Устройство наливного полиуретанового покрытия спортивных площадок и беговых дорожек толщиной 10 мм</v>
      </c>
      <c r="D157" s="22" t="str">
        <f>Source!DW82</f>
        <v>100 м2</v>
      </c>
      <c r="E157" s="9">
        <f>Source!I82</f>
        <v>0.96</v>
      </c>
      <c r="F157" s="24"/>
      <c r="G157" s="23"/>
      <c r="H157" s="9"/>
      <c r="I157" s="9"/>
      <c r="J157" s="25"/>
      <c r="K157" s="25"/>
      <c r="Q157">
        <f>ROUND((Source!BZ82/100)*ROUND((Source!AF82*Source!AV82)*Source!I82, 2), 2)</f>
        <v>2739.49</v>
      </c>
      <c r="R157">
        <f>Source!X82</f>
        <v>2739.49</v>
      </c>
      <c r="S157">
        <f>ROUND((Source!CA82/100)*ROUND((Source!AF82*Source!AV82)*Source!I82, 2), 2)</f>
        <v>391.36</v>
      </c>
      <c r="T157">
        <f>Source!Y82</f>
        <v>391.36</v>
      </c>
      <c r="U157">
        <f>ROUND((175/100)*ROUND((Source!AE82*Source!AV82)*Source!I82, 2), 2)</f>
        <v>3466.61</v>
      </c>
      <c r="V157">
        <f>ROUND((108/100)*ROUND(Source!CS82*Source!I82, 2), 2)</f>
        <v>2139.39</v>
      </c>
    </row>
    <row r="158" spans="1:22" x14ac:dyDescent="0.2">
      <c r="C158" s="26" t="str">
        <f>"Объем: "&amp;Source!I82&amp;"=96/"&amp;"100"</f>
        <v>Объем: 0,96=96/100</v>
      </c>
    </row>
    <row r="159" spans="1:22" ht="14.25" x14ac:dyDescent="0.2">
      <c r="A159" s="20"/>
      <c r="B159" s="21"/>
      <c r="C159" s="21" t="s">
        <v>685</v>
      </c>
      <c r="D159" s="22"/>
      <c r="E159" s="9"/>
      <c r="F159" s="24">
        <f>Source!AO82</f>
        <v>4076.63</v>
      </c>
      <c r="G159" s="23" t="str">
        <f>Source!DG82</f>
        <v/>
      </c>
      <c r="H159" s="9">
        <f>Source!AV82</f>
        <v>1</v>
      </c>
      <c r="I159" s="9">
        <f>IF(Source!BA82&lt;&gt; 0, Source!BA82, 1)</f>
        <v>1</v>
      </c>
      <c r="J159" s="25">
        <f>Source!S82</f>
        <v>3913.56</v>
      </c>
      <c r="K159" s="25"/>
    </row>
    <row r="160" spans="1:22" ht="14.25" x14ac:dyDescent="0.2">
      <c r="A160" s="20"/>
      <c r="B160" s="21"/>
      <c r="C160" s="21" t="s">
        <v>686</v>
      </c>
      <c r="D160" s="22"/>
      <c r="E160" s="9"/>
      <c r="F160" s="24">
        <f>Source!AM82</f>
        <v>2617.25</v>
      </c>
      <c r="G160" s="23" t="str">
        <f>Source!DE82</f>
        <v/>
      </c>
      <c r="H160" s="9">
        <f>Source!AV82</f>
        <v>1</v>
      </c>
      <c r="I160" s="9">
        <f>IF(Source!BB82&lt;&gt; 0, Source!BB82, 1)</f>
        <v>1</v>
      </c>
      <c r="J160" s="25">
        <f>Source!Q82</f>
        <v>2512.56</v>
      </c>
      <c r="K160" s="25"/>
    </row>
    <row r="161" spans="1:22" ht="14.25" x14ac:dyDescent="0.2">
      <c r="A161" s="20"/>
      <c r="B161" s="21"/>
      <c r="C161" s="21" t="s">
        <v>687</v>
      </c>
      <c r="D161" s="22"/>
      <c r="E161" s="9"/>
      <c r="F161" s="24">
        <f>Source!AN82</f>
        <v>2063.46</v>
      </c>
      <c r="G161" s="23" t="str">
        <f>Source!DF82</f>
        <v/>
      </c>
      <c r="H161" s="9">
        <f>Source!AV82</f>
        <v>1</v>
      </c>
      <c r="I161" s="9">
        <f>IF(Source!BS82&lt;&gt; 0, Source!BS82, 1)</f>
        <v>1</v>
      </c>
      <c r="J161" s="27">
        <f>Source!R82</f>
        <v>1980.92</v>
      </c>
      <c r="K161" s="25"/>
    </row>
    <row r="162" spans="1:22" ht="14.25" x14ac:dyDescent="0.2">
      <c r="A162" s="20"/>
      <c r="B162" s="21"/>
      <c r="C162" s="21" t="s">
        <v>694</v>
      </c>
      <c r="D162" s="22"/>
      <c r="E162" s="9"/>
      <c r="F162" s="24">
        <f>Source!AL82</f>
        <v>102359.62</v>
      </c>
      <c r="G162" s="23" t="str">
        <f>Source!DD82</f>
        <v/>
      </c>
      <c r="H162" s="9">
        <f>Source!AW82</f>
        <v>1</v>
      </c>
      <c r="I162" s="9">
        <f>IF(Source!BC82&lt;&gt; 0, Source!BC82, 1)</f>
        <v>1</v>
      </c>
      <c r="J162" s="25">
        <f>Source!P82</f>
        <v>98265.24</v>
      </c>
      <c r="K162" s="25"/>
    </row>
    <row r="163" spans="1:22" ht="14.25" x14ac:dyDescent="0.2">
      <c r="A163" s="20"/>
      <c r="B163" s="21"/>
      <c r="C163" s="21" t="s">
        <v>688</v>
      </c>
      <c r="D163" s="22" t="s">
        <v>689</v>
      </c>
      <c r="E163" s="9">
        <f>Source!AT82</f>
        <v>70</v>
      </c>
      <c r="F163" s="24"/>
      <c r="G163" s="23"/>
      <c r="H163" s="9"/>
      <c r="I163" s="9"/>
      <c r="J163" s="25">
        <f>SUM(R157:R162)</f>
        <v>2739.49</v>
      </c>
      <c r="K163" s="25"/>
    </row>
    <row r="164" spans="1:22" ht="14.25" x14ac:dyDescent="0.2">
      <c r="A164" s="20"/>
      <c r="B164" s="21"/>
      <c r="C164" s="21" t="s">
        <v>690</v>
      </c>
      <c r="D164" s="22" t="s">
        <v>689</v>
      </c>
      <c r="E164" s="9">
        <f>Source!AU82</f>
        <v>10</v>
      </c>
      <c r="F164" s="24"/>
      <c r="G164" s="23"/>
      <c r="H164" s="9"/>
      <c r="I164" s="9"/>
      <c r="J164" s="25">
        <f>SUM(T157:T163)</f>
        <v>391.36</v>
      </c>
      <c r="K164" s="25"/>
    </row>
    <row r="165" spans="1:22" ht="14.25" x14ac:dyDescent="0.2">
      <c r="A165" s="20"/>
      <c r="B165" s="21"/>
      <c r="C165" s="21" t="s">
        <v>691</v>
      </c>
      <c r="D165" s="22" t="s">
        <v>689</v>
      </c>
      <c r="E165" s="9">
        <f>108</f>
        <v>108</v>
      </c>
      <c r="F165" s="24"/>
      <c r="G165" s="23"/>
      <c r="H165" s="9"/>
      <c r="I165" s="9"/>
      <c r="J165" s="25">
        <f>SUM(V157:V164)</f>
        <v>2139.39</v>
      </c>
      <c r="K165" s="25"/>
    </row>
    <row r="166" spans="1:22" ht="14.25" x14ac:dyDescent="0.2">
      <c r="A166" s="20"/>
      <c r="B166" s="21"/>
      <c r="C166" s="21" t="s">
        <v>692</v>
      </c>
      <c r="D166" s="22" t="s">
        <v>693</v>
      </c>
      <c r="E166" s="9">
        <f>Source!AQ82</f>
        <v>18.440000000000001</v>
      </c>
      <c r="F166" s="24"/>
      <c r="G166" s="23" t="str">
        <f>Source!DI82</f>
        <v/>
      </c>
      <c r="H166" s="9">
        <f>Source!AV82</f>
        <v>1</v>
      </c>
      <c r="I166" s="9"/>
      <c r="J166" s="25"/>
      <c r="K166" s="25">
        <f>Source!U82</f>
        <v>17.702400000000001</v>
      </c>
    </row>
    <row r="167" spans="1:22" ht="15" x14ac:dyDescent="0.25">
      <c r="A167" s="30"/>
      <c r="B167" s="30"/>
      <c r="C167" s="30"/>
      <c r="D167" s="30"/>
      <c r="E167" s="30"/>
      <c r="F167" s="30"/>
      <c r="G167" s="30"/>
      <c r="H167" s="30"/>
      <c r="I167" s="65">
        <f>J159+J160+J162+J163+J164+J165</f>
        <v>109961.60000000001</v>
      </c>
      <c r="J167" s="65"/>
      <c r="K167" s="31">
        <f>IF(Source!I82&lt;&gt;0, ROUND(I167/Source!I82, 2), 0)</f>
        <v>114543.33</v>
      </c>
      <c r="P167" s="28">
        <f>I167</f>
        <v>109961.60000000001</v>
      </c>
    </row>
    <row r="168" spans="1:22" ht="28.5" x14ac:dyDescent="0.2">
      <c r="A168" s="20" t="str">
        <f>Source!E83</f>
        <v>15</v>
      </c>
      <c r="B168" s="21" t="str">
        <f>Source!F83</f>
        <v>1.1-3101-5-2/1</v>
      </c>
      <c r="C168" s="21" t="str">
        <f>Source!G83</f>
        <v>Рытье ям для установки стоек и столбов глубина 0,7 м</v>
      </c>
      <c r="D168" s="22" t="str">
        <f>Source!DW83</f>
        <v>100 ям</v>
      </c>
      <c r="E168" s="9">
        <f>Source!I83</f>
        <v>2.3999999999999998E-3</v>
      </c>
      <c r="F168" s="24"/>
      <c r="G168" s="23"/>
      <c r="H168" s="9"/>
      <c r="I168" s="9"/>
      <c r="J168" s="25"/>
      <c r="K168" s="25"/>
      <c r="Q168">
        <f>ROUND((Source!BZ83/100)*ROUND((Source!AF83*Source!AV83)*Source!I83, 2), 2)</f>
        <v>165.34</v>
      </c>
      <c r="R168">
        <f>Source!X83</f>
        <v>165.34</v>
      </c>
      <c r="S168">
        <f>ROUND((Source!CA83/100)*ROUND((Source!AF83*Source!AV83)*Source!I83, 2), 2)</f>
        <v>23.62</v>
      </c>
      <c r="T168">
        <f>Source!Y83</f>
        <v>23.62</v>
      </c>
      <c r="U168">
        <f>ROUND((175/100)*ROUND((Source!AE83*Source!AV83)*Source!I83, 2), 2)</f>
        <v>0</v>
      </c>
      <c r="V168">
        <f>ROUND((108/100)*ROUND(Source!CS83*Source!I83, 2), 2)</f>
        <v>0</v>
      </c>
    </row>
    <row r="169" spans="1:22" x14ac:dyDescent="0.2">
      <c r="C169" s="26" t="str">
        <f>"Объем: "&amp;Source!I83&amp;"=0,24/"&amp;"100"</f>
        <v>Объем: 0,0024=0,24/100</v>
      </c>
    </row>
    <row r="170" spans="1:22" ht="14.25" x14ac:dyDescent="0.2">
      <c r="A170" s="20"/>
      <c r="B170" s="21"/>
      <c r="C170" s="21" t="s">
        <v>685</v>
      </c>
      <c r="D170" s="22"/>
      <c r="E170" s="9"/>
      <c r="F170" s="24">
        <f>Source!AO83</f>
        <v>98416.2</v>
      </c>
      <c r="G170" s="23" t="str">
        <f>Source!DG83</f>
        <v/>
      </c>
      <c r="H170" s="9">
        <f>Source!AV83</f>
        <v>1</v>
      </c>
      <c r="I170" s="9">
        <f>IF(Source!BA83&lt;&gt; 0, Source!BA83, 1)</f>
        <v>1</v>
      </c>
      <c r="J170" s="25">
        <f>Source!S83</f>
        <v>236.2</v>
      </c>
      <c r="K170" s="25"/>
    </row>
    <row r="171" spans="1:22" ht="14.25" x14ac:dyDescent="0.2">
      <c r="A171" s="20"/>
      <c r="B171" s="21"/>
      <c r="C171" s="21" t="s">
        <v>688</v>
      </c>
      <c r="D171" s="22" t="s">
        <v>689</v>
      </c>
      <c r="E171" s="9">
        <f>Source!AT83</f>
        <v>70</v>
      </c>
      <c r="F171" s="24"/>
      <c r="G171" s="23"/>
      <c r="H171" s="9"/>
      <c r="I171" s="9"/>
      <c r="J171" s="25">
        <f>SUM(R168:R170)</f>
        <v>165.34</v>
      </c>
      <c r="K171" s="25"/>
    </row>
    <row r="172" spans="1:22" ht="14.25" x14ac:dyDescent="0.2">
      <c r="A172" s="20"/>
      <c r="B172" s="21"/>
      <c r="C172" s="21" t="s">
        <v>690</v>
      </c>
      <c r="D172" s="22" t="s">
        <v>689</v>
      </c>
      <c r="E172" s="9">
        <f>Source!AU83</f>
        <v>10</v>
      </c>
      <c r="F172" s="24"/>
      <c r="G172" s="23"/>
      <c r="H172" s="9"/>
      <c r="I172" s="9"/>
      <c r="J172" s="25">
        <f>SUM(T168:T171)</f>
        <v>23.62</v>
      </c>
      <c r="K172" s="25"/>
    </row>
    <row r="173" spans="1:22" ht="14.25" x14ac:dyDescent="0.2">
      <c r="A173" s="20"/>
      <c r="B173" s="21"/>
      <c r="C173" s="21" t="s">
        <v>692</v>
      </c>
      <c r="D173" s="22" t="s">
        <v>693</v>
      </c>
      <c r="E173" s="9">
        <f>Source!AQ83</f>
        <v>582</v>
      </c>
      <c r="F173" s="24"/>
      <c r="G173" s="23" t="str">
        <f>Source!DI83</f>
        <v/>
      </c>
      <c r="H173" s="9">
        <f>Source!AV83</f>
        <v>1</v>
      </c>
      <c r="I173" s="9"/>
      <c r="J173" s="25"/>
      <c r="K173" s="25">
        <f>Source!U83</f>
        <v>1.3967999999999998</v>
      </c>
    </row>
    <row r="174" spans="1:22" ht="15" x14ac:dyDescent="0.25">
      <c r="A174" s="30"/>
      <c r="B174" s="30"/>
      <c r="C174" s="30"/>
      <c r="D174" s="30"/>
      <c r="E174" s="30"/>
      <c r="F174" s="30"/>
      <c r="G174" s="30"/>
      <c r="H174" s="30"/>
      <c r="I174" s="65">
        <f>J170+J171+J172</f>
        <v>425.15999999999997</v>
      </c>
      <c r="J174" s="65"/>
      <c r="K174" s="31">
        <f>IF(Source!I83&lt;&gt;0, ROUND(I174/Source!I83, 2), 0)</f>
        <v>177150</v>
      </c>
      <c r="P174" s="28">
        <f>I174</f>
        <v>425.15999999999997</v>
      </c>
    </row>
    <row r="175" spans="1:22" ht="28.5" x14ac:dyDescent="0.2">
      <c r="A175" s="20" t="str">
        <f>Source!E84</f>
        <v>16</v>
      </c>
      <c r="B175" s="21" t="str">
        <f>Source!F84</f>
        <v>1.2-3103-2-1/1</v>
      </c>
      <c r="C175" s="21" t="str">
        <f>Source!G84</f>
        <v>Устройство бетонной подготовки</v>
      </c>
      <c r="D175" s="22" t="str">
        <f>Source!DW84</f>
        <v>100 м3</v>
      </c>
      <c r="E175" s="9">
        <f>Source!I84</f>
        <v>1.6000000000000001E-4</v>
      </c>
      <c r="F175" s="24"/>
      <c r="G175" s="23"/>
      <c r="H175" s="9"/>
      <c r="I175" s="9"/>
      <c r="J175" s="25"/>
      <c r="K175" s="25"/>
      <c r="Q175">
        <f>ROUND((Source!BZ84/100)*ROUND((Source!AF84*Source!AV84)*Source!I84, 2), 2)</f>
        <v>3.14</v>
      </c>
      <c r="R175">
        <f>Source!X84</f>
        <v>3.14</v>
      </c>
      <c r="S175">
        <f>ROUND((Source!CA84/100)*ROUND((Source!AF84*Source!AV84)*Source!I84, 2), 2)</f>
        <v>0.45</v>
      </c>
      <c r="T175">
        <f>Source!Y84</f>
        <v>0.45</v>
      </c>
      <c r="U175">
        <f>ROUND((175/100)*ROUND((Source!AE84*Source!AV84)*Source!I84, 2), 2)</f>
        <v>0</v>
      </c>
      <c r="V175">
        <f>ROUND((108/100)*ROUND(Source!CS84*Source!I84, 2), 2)</f>
        <v>0</v>
      </c>
    </row>
    <row r="176" spans="1:22" x14ac:dyDescent="0.2">
      <c r="C176" s="26" t="str">
        <f>"Объем: "&amp;Source!I84&amp;"=0,016/"&amp;"100"</f>
        <v>Объем: 0,00016=0,016/100</v>
      </c>
    </row>
    <row r="177" spans="1:22" ht="14.25" x14ac:dyDescent="0.2">
      <c r="A177" s="20"/>
      <c r="B177" s="21"/>
      <c r="C177" s="21" t="s">
        <v>685</v>
      </c>
      <c r="D177" s="22"/>
      <c r="E177" s="9"/>
      <c r="F177" s="24">
        <f>Source!AO84</f>
        <v>28059.89</v>
      </c>
      <c r="G177" s="23" t="str">
        <f>Source!DG84</f>
        <v/>
      </c>
      <c r="H177" s="9">
        <f>Source!AV84</f>
        <v>1</v>
      </c>
      <c r="I177" s="9">
        <f>IF(Source!BA84&lt;&gt; 0, Source!BA84, 1)</f>
        <v>1</v>
      </c>
      <c r="J177" s="25">
        <f>Source!S84</f>
        <v>4.49</v>
      </c>
      <c r="K177" s="25"/>
    </row>
    <row r="178" spans="1:22" ht="14.25" x14ac:dyDescent="0.2">
      <c r="A178" s="20"/>
      <c r="B178" s="21"/>
      <c r="C178" s="21" t="s">
        <v>694</v>
      </c>
      <c r="D178" s="22"/>
      <c r="E178" s="9"/>
      <c r="F178" s="24">
        <f>Source!AL84</f>
        <v>354251.65</v>
      </c>
      <c r="G178" s="23" t="str">
        <f>Source!DD84</f>
        <v/>
      </c>
      <c r="H178" s="9">
        <f>Source!AW84</f>
        <v>1</v>
      </c>
      <c r="I178" s="9">
        <f>IF(Source!BC84&lt;&gt; 0, Source!BC84, 1)</f>
        <v>1</v>
      </c>
      <c r="J178" s="25">
        <f>Source!P84</f>
        <v>56.68</v>
      </c>
      <c r="K178" s="25"/>
    </row>
    <row r="179" spans="1:22" ht="14.25" x14ac:dyDescent="0.2">
      <c r="A179" s="20"/>
      <c r="B179" s="21"/>
      <c r="C179" s="21" t="s">
        <v>688</v>
      </c>
      <c r="D179" s="22" t="s">
        <v>689</v>
      </c>
      <c r="E179" s="9">
        <f>Source!AT84</f>
        <v>70</v>
      </c>
      <c r="F179" s="24"/>
      <c r="G179" s="23"/>
      <c r="H179" s="9"/>
      <c r="I179" s="9"/>
      <c r="J179" s="25">
        <f>SUM(R175:R178)</f>
        <v>3.14</v>
      </c>
      <c r="K179" s="25"/>
    </row>
    <row r="180" spans="1:22" ht="14.25" x14ac:dyDescent="0.2">
      <c r="A180" s="20"/>
      <c r="B180" s="21"/>
      <c r="C180" s="21" t="s">
        <v>690</v>
      </c>
      <c r="D180" s="22" t="s">
        <v>689</v>
      </c>
      <c r="E180" s="9">
        <f>Source!AU84</f>
        <v>10</v>
      </c>
      <c r="F180" s="24"/>
      <c r="G180" s="23"/>
      <c r="H180" s="9"/>
      <c r="I180" s="9"/>
      <c r="J180" s="25">
        <f>SUM(T175:T179)</f>
        <v>0.45</v>
      </c>
      <c r="K180" s="25"/>
    </row>
    <row r="181" spans="1:22" ht="14.25" x14ac:dyDescent="0.2">
      <c r="A181" s="20"/>
      <c r="B181" s="21"/>
      <c r="C181" s="21" t="s">
        <v>692</v>
      </c>
      <c r="D181" s="22" t="s">
        <v>693</v>
      </c>
      <c r="E181" s="9">
        <f>Source!AQ84</f>
        <v>155.25</v>
      </c>
      <c r="F181" s="24"/>
      <c r="G181" s="23" t="str">
        <f>Source!DI84</f>
        <v/>
      </c>
      <c r="H181" s="9">
        <f>Source!AV84</f>
        <v>1</v>
      </c>
      <c r="I181" s="9"/>
      <c r="J181" s="25"/>
      <c r="K181" s="25">
        <f>Source!U84</f>
        <v>2.4840000000000001E-2</v>
      </c>
    </row>
    <row r="182" spans="1:22" ht="15" x14ac:dyDescent="0.25">
      <c r="A182" s="30"/>
      <c r="B182" s="30"/>
      <c r="C182" s="30"/>
      <c r="D182" s="30"/>
      <c r="E182" s="30"/>
      <c r="F182" s="30"/>
      <c r="G182" s="30"/>
      <c r="H182" s="30"/>
      <c r="I182" s="65">
        <f>J177+J178+J179+J180</f>
        <v>64.760000000000005</v>
      </c>
      <c r="J182" s="65"/>
      <c r="K182" s="31">
        <f>IF(Source!I84&lt;&gt;0, ROUND(I182/Source!I84, 2), 0)</f>
        <v>404750</v>
      </c>
      <c r="P182" s="28">
        <f>I182</f>
        <v>64.760000000000005</v>
      </c>
    </row>
    <row r="183" spans="1:22" ht="28.5" x14ac:dyDescent="0.2">
      <c r="A183" s="20" t="str">
        <f>Source!E85</f>
        <v>17</v>
      </c>
      <c r="B183" s="21" t="str">
        <f>Source!F85</f>
        <v>1.50-3203-3-6/1</v>
      </c>
      <c r="C183" s="21" t="str">
        <f>Source!G85</f>
        <v>Установка стальных конструкций, остающихся в теле бетона</v>
      </c>
      <c r="D183" s="22" t="str">
        <f>Source!DW85</f>
        <v>т</v>
      </c>
      <c r="E183" s="9">
        <f>Source!I85</f>
        <v>0.67017000000000004</v>
      </c>
      <c r="F183" s="24"/>
      <c r="G183" s="23"/>
      <c r="H183" s="9"/>
      <c r="I183" s="9"/>
      <c r="J183" s="25"/>
      <c r="K183" s="25"/>
      <c r="Q183">
        <f>ROUND((Source!BZ85/100)*ROUND((Source!AF85*Source!AV85)*Source!I85, 2), 2)</f>
        <v>5647.79</v>
      </c>
      <c r="R183">
        <f>Source!X85</f>
        <v>5647.79</v>
      </c>
      <c r="S183">
        <f>ROUND((Source!CA85/100)*ROUND((Source!AF85*Source!AV85)*Source!I85, 2), 2)</f>
        <v>806.83</v>
      </c>
      <c r="T183">
        <f>Source!Y85</f>
        <v>806.83</v>
      </c>
      <c r="U183">
        <f>ROUND((175/100)*ROUND((Source!AE85*Source!AV85)*Source!I85, 2), 2)</f>
        <v>1.54</v>
      </c>
      <c r="V183">
        <f>ROUND((108/100)*ROUND(Source!CS85*Source!I85, 2), 2)</f>
        <v>0.95</v>
      </c>
    </row>
    <row r="184" spans="1:22" ht="14.25" x14ac:dyDescent="0.2">
      <c r="A184" s="20"/>
      <c r="B184" s="21"/>
      <c r="C184" s="21" t="s">
        <v>685</v>
      </c>
      <c r="D184" s="22"/>
      <c r="E184" s="9"/>
      <c r="F184" s="24">
        <f>Source!AO85</f>
        <v>12039.14</v>
      </c>
      <c r="G184" s="23" t="str">
        <f>Source!DG85</f>
        <v/>
      </c>
      <c r="H184" s="9">
        <f>Source!AV85</f>
        <v>1</v>
      </c>
      <c r="I184" s="9">
        <f>IF(Source!BA85&lt;&gt; 0, Source!BA85, 1)</f>
        <v>1</v>
      </c>
      <c r="J184" s="25">
        <f>Source!S85</f>
        <v>8068.27</v>
      </c>
      <c r="K184" s="25"/>
    </row>
    <row r="185" spans="1:22" ht="14.25" x14ac:dyDescent="0.2">
      <c r="A185" s="20"/>
      <c r="B185" s="21"/>
      <c r="C185" s="21" t="s">
        <v>686</v>
      </c>
      <c r="D185" s="22"/>
      <c r="E185" s="9"/>
      <c r="F185" s="24">
        <f>Source!AM85</f>
        <v>275.08999999999997</v>
      </c>
      <c r="G185" s="23" t="str">
        <f>Source!DE85</f>
        <v/>
      </c>
      <c r="H185" s="9">
        <f>Source!AV85</f>
        <v>1</v>
      </c>
      <c r="I185" s="9">
        <f>IF(Source!BB85&lt;&gt; 0, Source!BB85, 1)</f>
        <v>1</v>
      </c>
      <c r="J185" s="25">
        <f>Source!Q85</f>
        <v>184.36</v>
      </c>
      <c r="K185" s="25"/>
    </row>
    <row r="186" spans="1:22" ht="14.25" x14ac:dyDescent="0.2">
      <c r="A186" s="20"/>
      <c r="B186" s="21"/>
      <c r="C186" s="21" t="s">
        <v>687</v>
      </c>
      <c r="D186" s="22"/>
      <c r="E186" s="9"/>
      <c r="F186" s="24">
        <f>Source!AN85</f>
        <v>1.31</v>
      </c>
      <c r="G186" s="23" t="str">
        <f>Source!DF85</f>
        <v/>
      </c>
      <c r="H186" s="9">
        <f>Source!AV85</f>
        <v>1</v>
      </c>
      <c r="I186" s="9">
        <f>IF(Source!BS85&lt;&gt; 0, Source!BS85, 1)</f>
        <v>1</v>
      </c>
      <c r="J186" s="27">
        <f>Source!R85</f>
        <v>0.88</v>
      </c>
      <c r="K186" s="25"/>
    </row>
    <row r="187" spans="1:22" ht="14.25" x14ac:dyDescent="0.2">
      <c r="A187" s="20"/>
      <c r="B187" s="21"/>
      <c r="C187" s="21" t="s">
        <v>694</v>
      </c>
      <c r="D187" s="22"/>
      <c r="E187" s="9"/>
      <c r="F187" s="24">
        <f>Source!AL85</f>
        <v>81104.210000000006</v>
      </c>
      <c r="G187" s="23" t="str">
        <f>Source!DD85</f>
        <v/>
      </c>
      <c r="H187" s="9">
        <f>Source!AW85</f>
        <v>1</v>
      </c>
      <c r="I187" s="9">
        <f>IF(Source!BC85&lt;&gt; 0, Source!BC85, 1)</f>
        <v>1</v>
      </c>
      <c r="J187" s="25">
        <f>Source!P85</f>
        <v>54353.61</v>
      </c>
      <c r="K187" s="25"/>
    </row>
    <row r="188" spans="1:22" ht="114" x14ac:dyDescent="0.2">
      <c r="A188" s="20" t="str">
        <f>Source!E86</f>
        <v>17,1</v>
      </c>
      <c r="B188" s="21" t="str">
        <f>Source!F86</f>
        <v>21.6-1-17</v>
      </c>
      <c r="C188" s="21" t="str">
        <f>Source!G86</f>
        <v>Конструктивные эл-ты вспом.назн.,эл-ты крепл.подвес. потолков,трубопр.,воздухов.,закл.детали,детали крепл.стен.панелей,ворот,переплетов решеток,массой не более 50 кг, с преобл.проф.проката, с отверстиями собираемые из двух и более деталей</v>
      </c>
      <c r="D188" s="22" t="str">
        <f>Source!DW86</f>
        <v>т</v>
      </c>
      <c r="E188" s="9">
        <f>Source!I86</f>
        <v>-0.67017000000000004</v>
      </c>
      <c r="F188" s="24">
        <f>Source!AK86</f>
        <v>80328.740000000005</v>
      </c>
      <c r="G188" s="34" t="s">
        <v>3</v>
      </c>
      <c r="H188" s="9">
        <f>Source!AW86</f>
        <v>1</v>
      </c>
      <c r="I188" s="9">
        <f>IF(Source!BC86&lt;&gt; 0, Source!BC86, 1)</f>
        <v>1</v>
      </c>
      <c r="J188" s="25">
        <f>Source!O86</f>
        <v>-53833.91</v>
      </c>
      <c r="K188" s="25"/>
      <c r="Q188">
        <f>ROUND((Source!BZ86/100)*ROUND((Source!AF86*Source!AV86)*Source!I86, 2), 2)</f>
        <v>0</v>
      </c>
      <c r="R188">
        <f>Source!X86</f>
        <v>0</v>
      </c>
      <c r="S188">
        <f>ROUND((Source!CA86/100)*ROUND((Source!AF86*Source!AV86)*Source!I86, 2), 2)</f>
        <v>0</v>
      </c>
      <c r="T188">
        <f>Source!Y86</f>
        <v>0</v>
      </c>
      <c r="U188">
        <f>ROUND((175/100)*ROUND((Source!AE86*Source!AV86)*Source!I86, 2), 2)</f>
        <v>0</v>
      </c>
      <c r="V188">
        <f>ROUND((108/100)*ROUND(Source!CS86*Source!I86, 2), 2)</f>
        <v>0</v>
      </c>
    </row>
    <row r="189" spans="1:22" ht="57" x14ac:dyDescent="0.2">
      <c r="A189" s="20" t="str">
        <f>Source!E87</f>
        <v>17,2</v>
      </c>
      <c r="B189" s="21" t="str">
        <f>Source!F87</f>
        <v>21.1-10-47</v>
      </c>
      <c r="C189" s="21" t="str">
        <f>Source!G87</f>
        <v>Профили стальные электросварные квадратного сечения трубчатые, размер стороны 80 мм, толщина стенки 3-6 мм</v>
      </c>
      <c r="D189" s="22" t="str">
        <f>Source!DW87</f>
        <v>т</v>
      </c>
      <c r="E189" s="9">
        <f>Source!I87</f>
        <v>0.67017000000000004</v>
      </c>
      <c r="F189" s="24">
        <f>Source!AK87</f>
        <v>37329.29</v>
      </c>
      <c r="G189" s="34" t="s">
        <v>3</v>
      </c>
      <c r="H189" s="9">
        <f>Source!AW87</f>
        <v>1</v>
      </c>
      <c r="I189" s="9">
        <f>IF(Source!BC87&lt;&gt; 0, Source!BC87, 1)</f>
        <v>1</v>
      </c>
      <c r="J189" s="25">
        <f>Source!O87</f>
        <v>25016.97</v>
      </c>
      <c r="K189" s="25"/>
      <c r="Q189">
        <f>ROUND((Source!BZ87/100)*ROUND((Source!AF87*Source!AV87)*Source!I87, 2), 2)</f>
        <v>0</v>
      </c>
      <c r="R189">
        <f>Source!X87</f>
        <v>0</v>
      </c>
      <c r="S189">
        <f>ROUND((Source!CA87/100)*ROUND((Source!AF87*Source!AV87)*Source!I87, 2), 2)</f>
        <v>0</v>
      </c>
      <c r="T189">
        <f>Source!Y87</f>
        <v>0</v>
      </c>
      <c r="U189">
        <f>ROUND((175/100)*ROUND((Source!AE87*Source!AV87)*Source!I87, 2), 2)</f>
        <v>0</v>
      </c>
      <c r="V189">
        <f>ROUND((108/100)*ROUND(Source!CS87*Source!I87, 2), 2)</f>
        <v>0</v>
      </c>
    </row>
    <row r="190" spans="1:22" ht="14.25" x14ac:dyDescent="0.2">
      <c r="A190" s="20"/>
      <c r="B190" s="21"/>
      <c r="C190" s="21" t="s">
        <v>688</v>
      </c>
      <c r="D190" s="22" t="s">
        <v>689</v>
      </c>
      <c r="E190" s="9">
        <f>Source!AT85</f>
        <v>70</v>
      </c>
      <c r="F190" s="24"/>
      <c r="G190" s="23"/>
      <c r="H190" s="9"/>
      <c r="I190" s="9"/>
      <c r="J190" s="25">
        <f>SUM(R183:R189)</f>
        <v>5647.79</v>
      </c>
      <c r="K190" s="25"/>
    </row>
    <row r="191" spans="1:22" ht="14.25" x14ac:dyDescent="0.2">
      <c r="A191" s="20"/>
      <c r="B191" s="21"/>
      <c r="C191" s="21" t="s">
        <v>690</v>
      </c>
      <c r="D191" s="22" t="s">
        <v>689</v>
      </c>
      <c r="E191" s="9">
        <f>Source!AU85</f>
        <v>10</v>
      </c>
      <c r="F191" s="24"/>
      <c r="G191" s="23"/>
      <c r="H191" s="9"/>
      <c r="I191" s="9"/>
      <c r="J191" s="25">
        <f>SUM(T183:T190)</f>
        <v>806.83</v>
      </c>
      <c r="K191" s="25"/>
    </row>
    <row r="192" spans="1:22" ht="14.25" x14ac:dyDescent="0.2">
      <c r="A192" s="20"/>
      <c r="B192" s="21"/>
      <c r="C192" s="21" t="s">
        <v>691</v>
      </c>
      <c r="D192" s="22" t="s">
        <v>689</v>
      </c>
      <c r="E192" s="9">
        <f>108</f>
        <v>108</v>
      </c>
      <c r="F192" s="24"/>
      <c r="G192" s="23"/>
      <c r="H192" s="9"/>
      <c r="I192" s="9"/>
      <c r="J192" s="25">
        <f>SUM(V183:V191)</f>
        <v>0.95</v>
      </c>
      <c r="K192" s="25"/>
    </row>
    <row r="193" spans="1:22" ht="14.25" x14ac:dyDescent="0.2">
      <c r="A193" s="20"/>
      <c r="B193" s="21"/>
      <c r="C193" s="21" t="s">
        <v>692</v>
      </c>
      <c r="D193" s="22" t="s">
        <v>693</v>
      </c>
      <c r="E193" s="9">
        <f>Source!AQ85</f>
        <v>48.88</v>
      </c>
      <c r="F193" s="24"/>
      <c r="G193" s="23" t="str">
        <f>Source!DI85</f>
        <v/>
      </c>
      <c r="H193" s="9">
        <f>Source!AV85</f>
        <v>1</v>
      </c>
      <c r="I193" s="9"/>
      <c r="J193" s="25"/>
      <c r="K193" s="25">
        <f>Source!U85</f>
        <v>32.757909600000005</v>
      </c>
    </row>
    <row r="194" spans="1:22" ht="15" x14ac:dyDescent="0.25">
      <c r="A194" s="30"/>
      <c r="B194" s="30"/>
      <c r="C194" s="30"/>
      <c r="D194" s="30"/>
      <c r="E194" s="30"/>
      <c r="F194" s="30"/>
      <c r="G194" s="30"/>
      <c r="H194" s="30"/>
      <c r="I194" s="65">
        <f>J184+J185+J187+J190+J191+J192+SUM(J188:J189)</f>
        <v>40244.869999999995</v>
      </c>
      <c r="J194" s="65"/>
      <c r="K194" s="31">
        <f>IF(Source!I85&lt;&gt;0, ROUND(I194/Source!I85, 2), 0)</f>
        <v>60051.73</v>
      </c>
      <c r="P194" s="28">
        <f>I194</f>
        <v>40244.869999999995</v>
      </c>
    </row>
    <row r="195" spans="1:22" ht="57" x14ac:dyDescent="0.2">
      <c r="A195" s="20" t="str">
        <f>Source!E88</f>
        <v>18</v>
      </c>
      <c r="B195" s="21" t="str">
        <f>Source!F88</f>
        <v>1.50-3203-43-2/1</v>
      </c>
      <c r="C195" s="21" t="str">
        <f>Source!G88</f>
        <v>Изготовление мелких индивидуальных конструкций (стремянок, связей, кронштейнов, тормозных конструкций и пр.)</v>
      </c>
      <c r="D195" s="22" t="str">
        <f>Source!DW88</f>
        <v>т</v>
      </c>
      <c r="E195" s="9">
        <f>Source!I88</f>
        <v>1.11307</v>
      </c>
      <c r="F195" s="24"/>
      <c r="G195" s="23"/>
      <c r="H195" s="9"/>
      <c r="I195" s="9"/>
      <c r="J195" s="25"/>
      <c r="K195" s="25"/>
      <c r="Q195">
        <f>ROUND((Source!BZ88/100)*ROUND((Source!AF88*Source!AV88)*Source!I88, 2), 2)</f>
        <v>25363.040000000001</v>
      </c>
      <c r="R195">
        <f>Source!X88</f>
        <v>25363.040000000001</v>
      </c>
      <c r="S195">
        <f>ROUND((Source!CA88/100)*ROUND((Source!AF88*Source!AV88)*Source!I88, 2), 2)</f>
        <v>3623.29</v>
      </c>
      <c r="T195">
        <f>Source!Y88</f>
        <v>3623.29</v>
      </c>
      <c r="U195">
        <f>ROUND((175/100)*ROUND((Source!AE88*Source!AV88)*Source!I88, 2), 2)</f>
        <v>679.6</v>
      </c>
      <c r="V195">
        <f>ROUND((108/100)*ROUND(Source!CS88*Source!I88, 2), 2)</f>
        <v>419.41</v>
      </c>
    </row>
    <row r="196" spans="1:22" ht="14.25" x14ac:dyDescent="0.2">
      <c r="A196" s="20"/>
      <c r="B196" s="21"/>
      <c r="C196" s="21" t="s">
        <v>685</v>
      </c>
      <c r="D196" s="22"/>
      <c r="E196" s="9"/>
      <c r="F196" s="24">
        <f>Source!AO88</f>
        <v>32552.240000000002</v>
      </c>
      <c r="G196" s="23" t="str">
        <f>Source!DG88</f>
        <v/>
      </c>
      <c r="H196" s="9">
        <f>Source!AV88</f>
        <v>1</v>
      </c>
      <c r="I196" s="9">
        <f>IF(Source!BA88&lt;&gt; 0, Source!BA88, 1)</f>
        <v>1</v>
      </c>
      <c r="J196" s="25">
        <f>Source!S88</f>
        <v>36232.92</v>
      </c>
      <c r="K196" s="25"/>
    </row>
    <row r="197" spans="1:22" ht="14.25" x14ac:dyDescent="0.2">
      <c r="A197" s="20"/>
      <c r="B197" s="21"/>
      <c r="C197" s="21" t="s">
        <v>686</v>
      </c>
      <c r="D197" s="22"/>
      <c r="E197" s="9"/>
      <c r="F197" s="24">
        <f>Source!AM88</f>
        <v>1873.56</v>
      </c>
      <c r="G197" s="23" t="str">
        <f>Source!DE88</f>
        <v/>
      </c>
      <c r="H197" s="9">
        <f>Source!AV88</f>
        <v>1</v>
      </c>
      <c r="I197" s="9">
        <f>IF(Source!BB88&lt;&gt; 0, Source!BB88, 1)</f>
        <v>1</v>
      </c>
      <c r="J197" s="25">
        <f>Source!Q88</f>
        <v>2085.4</v>
      </c>
      <c r="K197" s="25"/>
    </row>
    <row r="198" spans="1:22" ht="14.25" x14ac:dyDescent="0.2">
      <c r="A198" s="20"/>
      <c r="B198" s="21"/>
      <c r="C198" s="21" t="s">
        <v>687</v>
      </c>
      <c r="D198" s="22"/>
      <c r="E198" s="9"/>
      <c r="F198" s="24">
        <f>Source!AN88</f>
        <v>348.89</v>
      </c>
      <c r="G198" s="23" t="str">
        <f>Source!DF88</f>
        <v/>
      </c>
      <c r="H198" s="9">
        <f>Source!AV88</f>
        <v>1</v>
      </c>
      <c r="I198" s="9">
        <f>IF(Source!BS88&lt;&gt; 0, Source!BS88, 1)</f>
        <v>1</v>
      </c>
      <c r="J198" s="27">
        <f>Source!R88</f>
        <v>388.34</v>
      </c>
      <c r="K198" s="25"/>
    </row>
    <row r="199" spans="1:22" ht="14.25" x14ac:dyDescent="0.2">
      <c r="A199" s="20"/>
      <c r="B199" s="21"/>
      <c r="C199" s="21" t="s">
        <v>694</v>
      </c>
      <c r="D199" s="22"/>
      <c r="E199" s="9"/>
      <c r="F199" s="24">
        <f>Source!AL88</f>
        <v>39756</v>
      </c>
      <c r="G199" s="23" t="str">
        <f>Source!DD88</f>
        <v/>
      </c>
      <c r="H199" s="9">
        <f>Source!AW88</f>
        <v>1</v>
      </c>
      <c r="I199" s="9">
        <f>IF(Source!BC88&lt;&gt; 0, Source!BC88, 1)</f>
        <v>1</v>
      </c>
      <c r="J199" s="25">
        <f>Source!P88</f>
        <v>44251.21</v>
      </c>
      <c r="K199" s="25"/>
    </row>
    <row r="200" spans="1:22" ht="14.25" x14ac:dyDescent="0.2">
      <c r="A200" s="20"/>
      <c r="B200" s="21"/>
      <c r="C200" s="21" t="s">
        <v>688</v>
      </c>
      <c r="D200" s="22" t="s">
        <v>689</v>
      </c>
      <c r="E200" s="9">
        <f>Source!AT88</f>
        <v>70</v>
      </c>
      <c r="F200" s="24"/>
      <c r="G200" s="23"/>
      <c r="H200" s="9"/>
      <c r="I200" s="9"/>
      <c r="J200" s="25">
        <f>SUM(R195:R199)</f>
        <v>25363.040000000001</v>
      </c>
      <c r="K200" s="25"/>
    </row>
    <row r="201" spans="1:22" ht="14.25" x14ac:dyDescent="0.2">
      <c r="A201" s="20"/>
      <c r="B201" s="21"/>
      <c r="C201" s="21" t="s">
        <v>690</v>
      </c>
      <c r="D201" s="22" t="s">
        <v>689</v>
      </c>
      <c r="E201" s="9">
        <f>Source!AU88</f>
        <v>10</v>
      </c>
      <c r="F201" s="24"/>
      <c r="G201" s="23"/>
      <c r="H201" s="9"/>
      <c r="I201" s="9"/>
      <c r="J201" s="25">
        <f>SUM(T195:T200)</f>
        <v>3623.29</v>
      </c>
      <c r="K201" s="25"/>
    </row>
    <row r="202" spans="1:22" ht="14.25" x14ac:dyDescent="0.2">
      <c r="A202" s="20"/>
      <c r="B202" s="21"/>
      <c r="C202" s="21" t="s">
        <v>691</v>
      </c>
      <c r="D202" s="22" t="s">
        <v>689</v>
      </c>
      <c r="E202" s="9">
        <f>108</f>
        <v>108</v>
      </c>
      <c r="F202" s="24"/>
      <c r="G202" s="23"/>
      <c r="H202" s="9"/>
      <c r="I202" s="9"/>
      <c r="J202" s="25">
        <f>SUM(V195:V201)</f>
        <v>419.41</v>
      </c>
      <c r="K202" s="25"/>
    </row>
    <row r="203" spans="1:22" ht="14.25" x14ac:dyDescent="0.2">
      <c r="A203" s="20"/>
      <c r="B203" s="21"/>
      <c r="C203" s="21" t="s">
        <v>692</v>
      </c>
      <c r="D203" s="22" t="s">
        <v>693</v>
      </c>
      <c r="E203" s="9">
        <f>Source!AQ88</f>
        <v>126.5</v>
      </c>
      <c r="F203" s="24"/>
      <c r="G203" s="23" t="str">
        <f>Source!DI88</f>
        <v/>
      </c>
      <c r="H203" s="9">
        <f>Source!AV88</f>
        <v>1</v>
      </c>
      <c r="I203" s="9"/>
      <c r="J203" s="25"/>
      <c r="K203" s="25">
        <f>Source!U88</f>
        <v>140.80335500000001</v>
      </c>
    </row>
    <row r="204" spans="1:22" ht="15" x14ac:dyDescent="0.25">
      <c r="A204" s="30"/>
      <c r="B204" s="30"/>
      <c r="C204" s="30"/>
      <c r="D204" s="30"/>
      <c r="E204" s="30"/>
      <c r="F204" s="30"/>
      <c r="G204" s="30"/>
      <c r="H204" s="30"/>
      <c r="I204" s="65">
        <f>J196+J197+J199+J200+J201+J202</f>
        <v>111975.27</v>
      </c>
      <c r="J204" s="65"/>
      <c r="K204" s="31">
        <f>IF(Source!I88&lt;&gt;0, ROUND(I204/Source!I88, 2), 0)</f>
        <v>100600.38</v>
      </c>
      <c r="P204" s="28">
        <f>I204</f>
        <v>111975.27</v>
      </c>
    </row>
    <row r="205" spans="1:22" ht="28.5" x14ac:dyDescent="0.2">
      <c r="A205" s="20" t="str">
        <f>Source!E89</f>
        <v>19</v>
      </c>
      <c r="B205" s="21" t="str">
        <f>Source!F89</f>
        <v>1.50-3203-37-3/1</v>
      </c>
      <c r="C205" s="21" t="str">
        <f>Source!G89</f>
        <v>Монтаж мелких конструкций из стали различного профиля массой до 100 кг</v>
      </c>
      <c r="D205" s="22" t="str">
        <f>Source!DW89</f>
        <v>т</v>
      </c>
      <c r="E205" s="9">
        <f>Source!I89</f>
        <v>1.11307</v>
      </c>
      <c r="F205" s="24"/>
      <c r="G205" s="23"/>
      <c r="H205" s="9"/>
      <c r="I205" s="9"/>
      <c r="J205" s="25"/>
      <c r="K205" s="25"/>
      <c r="Q205">
        <f>ROUND((Source!BZ89/100)*ROUND((Source!AF89*Source!AV89)*Source!I89, 2), 2)</f>
        <v>17523.560000000001</v>
      </c>
      <c r="R205">
        <f>Source!X89</f>
        <v>17523.560000000001</v>
      </c>
      <c r="S205">
        <f>ROUND((Source!CA89/100)*ROUND((Source!AF89*Source!AV89)*Source!I89, 2), 2)</f>
        <v>2503.37</v>
      </c>
      <c r="T205">
        <f>Source!Y89</f>
        <v>2503.37</v>
      </c>
      <c r="U205">
        <f>ROUND((175/100)*ROUND((Source!AE89*Source!AV89)*Source!I89, 2), 2)</f>
        <v>49.96</v>
      </c>
      <c r="V205">
        <f>ROUND((108/100)*ROUND(Source!CS89*Source!I89, 2), 2)</f>
        <v>30.83</v>
      </c>
    </row>
    <row r="206" spans="1:22" ht="14.25" x14ac:dyDescent="0.2">
      <c r="A206" s="20"/>
      <c r="B206" s="21"/>
      <c r="C206" s="21" t="s">
        <v>685</v>
      </c>
      <c r="D206" s="22"/>
      <c r="E206" s="9"/>
      <c r="F206" s="24">
        <f>Source!AO89</f>
        <v>22490.639999999999</v>
      </c>
      <c r="G206" s="23" t="str">
        <f>Source!DG89</f>
        <v/>
      </c>
      <c r="H206" s="9">
        <f>Source!AV89</f>
        <v>1</v>
      </c>
      <c r="I206" s="9">
        <f>IF(Source!BA89&lt;&gt; 0, Source!BA89, 1)</f>
        <v>1</v>
      </c>
      <c r="J206" s="25">
        <f>Source!S89</f>
        <v>25033.66</v>
      </c>
      <c r="K206" s="25"/>
    </row>
    <row r="207" spans="1:22" ht="14.25" x14ac:dyDescent="0.2">
      <c r="A207" s="20"/>
      <c r="B207" s="21"/>
      <c r="C207" s="21" t="s">
        <v>686</v>
      </c>
      <c r="D207" s="22"/>
      <c r="E207" s="9"/>
      <c r="F207" s="24">
        <f>Source!AM89</f>
        <v>589</v>
      </c>
      <c r="G207" s="23" t="str">
        <f>Source!DE89</f>
        <v/>
      </c>
      <c r="H207" s="9">
        <f>Source!AV89</f>
        <v>1</v>
      </c>
      <c r="I207" s="9">
        <f>IF(Source!BB89&lt;&gt; 0, Source!BB89, 1)</f>
        <v>1</v>
      </c>
      <c r="J207" s="25">
        <f>Source!Q89</f>
        <v>655.6</v>
      </c>
      <c r="K207" s="25"/>
    </row>
    <row r="208" spans="1:22" ht="14.25" x14ac:dyDescent="0.2">
      <c r="A208" s="20"/>
      <c r="B208" s="21"/>
      <c r="C208" s="21" t="s">
        <v>687</v>
      </c>
      <c r="D208" s="22"/>
      <c r="E208" s="9"/>
      <c r="F208" s="24">
        <f>Source!AN89</f>
        <v>25.65</v>
      </c>
      <c r="G208" s="23" t="str">
        <f>Source!DF89</f>
        <v/>
      </c>
      <c r="H208" s="9">
        <f>Source!AV89</f>
        <v>1</v>
      </c>
      <c r="I208" s="9">
        <f>IF(Source!BS89&lt;&gt; 0, Source!BS89, 1)</f>
        <v>1</v>
      </c>
      <c r="J208" s="27">
        <f>Source!R89</f>
        <v>28.55</v>
      </c>
      <c r="K208" s="25"/>
    </row>
    <row r="209" spans="1:22" ht="14.25" x14ac:dyDescent="0.2">
      <c r="A209" s="20"/>
      <c r="B209" s="21"/>
      <c r="C209" s="21" t="s">
        <v>694</v>
      </c>
      <c r="D209" s="22"/>
      <c r="E209" s="9"/>
      <c r="F209" s="24">
        <f>Source!AL89</f>
        <v>75528.429999999993</v>
      </c>
      <c r="G209" s="23" t="str">
        <f>Source!DD89</f>
        <v/>
      </c>
      <c r="H209" s="9">
        <f>Source!AW89</f>
        <v>1</v>
      </c>
      <c r="I209" s="9">
        <f>IF(Source!BC89&lt;&gt; 0, Source!BC89, 1)</f>
        <v>1</v>
      </c>
      <c r="J209" s="25">
        <f>Source!P89</f>
        <v>84068.43</v>
      </c>
      <c r="K209" s="25"/>
    </row>
    <row r="210" spans="1:22" ht="14.25" x14ac:dyDescent="0.2">
      <c r="A210" s="20"/>
      <c r="B210" s="21"/>
      <c r="C210" s="21" t="s">
        <v>688</v>
      </c>
      <c r="D210" s="22" t="s">
        <v>689</v>
      </c>
      <c r="E210" s="9">
        <f>Source!AT89</f>
        <v>70</v>
      </c>
      <c r="F210" s="24"/>
      <c r="G210" s="23"/>
      <c r="H210" s="9"/>
      <c r="I210" s="9"/>
      <c r="J210" s="25">
        <f>SUM(R205:R209)</f>
        <v>17523.560000000001</v>
      </c>
      <c r="K210" s="25"/>
    </row>
    <row r="211" spans="1:22" ht="14.25" x14ac:dyDescent="0.2">
      <c r="A211" s="20"/>
      <c r="B211" s="21"/>
      <c r="C211" s="21" t="s">
        <v>690</v>
      </c>
      <c r="D211" s="22" t="s">
        <v>689</v>
      </c>
      <c r="E211" s="9">
        <f>Source!AU89</f>
        <v>10</v>
      </c>
      <c r="F211" s="24"/>
      <c r="G211" s="23"/>
      <c r="H211" s="9"/>
      <c r="I211" s="9"/>
      <c r="J211" s="25">
        <f>SUM(T205:T210)</f>
        <v>2503.37</v>
      </c>
      <c r="K211" s="25"/>
    </row>
    <row r="212" spans="1:22" ht="14.25" x14ac:dyDescent="0.2">
      <c r="A212" s="20"/>
      <c r="B212" s="21"/>
      <c r="C212" s="21" t="s">
        <v>691</v>
      </c>
      <c r="D212" s="22" t="s">
        <v>689</v>
      </c>
      <c r="E212" s="9">
        <f>108</f>
        <v>108</v>
      </c>
      <c r="F212" s="24"/>
      <c r="G212" s="23"/>
      <c r="H212" s="9"/>
      <c r="I212" s="9"/>
      <c r="J212" s="25">
        <f>SUM(V205:V211)</f>
        <v>30.83</v>
      </c>
      <c r="K212" s="25"/>
    </row>
    <row r="213" spans="1:22" ht="14.25" x14ac:dyDescent="0.2">
      <c r="A213" s="20"/>
      <c r="B213" s="21"/>
      <c r="C213" s="21" t="s">
        <v>692</v>
      </c>
      <c r="D213" s="22" t="s">
        <v>693</v>
      </c>
      <c r="E213" s="9">
        <f>Source!AQ89</f>
        <v>87.4</v>
      </c>
      <c r="F213" s="24"/>
      <c r="G213" s="23" t="str">
        <f>Source!DI89</f>
        <v/>
      </c>
      <c r="H213" s="9">
        <f>Source!AV89</f>
        <v>1</v>
      </c>
      <c r="I213" s="9"/>
      <c r="J213" s="25"/>
      <c r="K213" s="25">
        <f>Source!U89</f>
        <v>97.282318000000004</v>
      </c>
    </row>
    <row r="214" spans="1:22" ht="15" x14ac:dyDescent="0.25">
      <c r="A214" s="30"/>
      <c r="B214" s="30"/>
      <c r="C214" s="30"/>
      <c r="D214" s="30"/>
      <c r="E214" s="30"/>
      <c r="F214" s="30"/>
      <c r="G214" s="30"/>
      <c r="H214" s="30"/>
      <c r="I214" s="65">
        <f>J206+J207+J209+J210+J211+J212</f>
        <v>129815.44999999998</v>
      </c>
      <c r="J214" s="65"/>
      <c r="K214" s="31">
        <f>IF(Source!I89&lt;&gt;0, ROUND(I214/Source!I89, 2), 0)</f>
        <v>116628.29</v>
      </c>
      <c r="P214" s="28">
        <f>I214</f>
        <v>129815.44999999998</v>
      </c>
    </row>
    <row r="215" spans="1:22" ht="57" x14ac:dyDescent="0.2">
      <c r="A215" s="20" t="str">
        <f>Source!E90</f>
        <v>20</v>
      </c>
      <c r="B215" s="21" t="str">
        <f>Source!F90</f>
        <v>1.13-3203-17-4/1</v>
      </c>
      <c r="C215" s="21" t="str">
        <f>Source!G90</f>
        <v>Масляная окраска белилами с добавлением колера металлических решеток, переплетов, труб, диаметром менее 50 мм и т.п. за два раза</v>
      </c>
      <c r="D215" s="22" t="str">
        <f>Source!DW90</f>
        <v>100 м2</v>
      </c>
      <c r="E215" s="9">
        <f>Source!I90</f>
        <v>0.9</v>
      </c>
      <c r="F215" s="24"/>
      <c r="G215" s="23"/>
      <c r="H215" s="9"/>
      <c r="I215" s="9"/>
      <c r="J215" s="25"/>
      <c r="K215" s="25"/>
      <c r="Q215">
        <f>ROUND((Source!BZ90/100)*ROUND((Source!AF90*Source!AV90)*Source!I90, 2), 2)</f>
        <v>10288.17</v>
      </c>
      <c r="R215">
        <f>Source!X90</f>
        <v>10288.17</v>
      </c>
      <c r="S215">
        <f>ROUND((Source!CA90/100)*ROUND((Source!AF90*Source!AV90)*Source!I90, 2), 2)</f>
        <v>1469.74</v>
      </c>
      <c r="T215">
        <f>Source!Y90</f>
        <v>1469.74</v>
      </c>
      <c r="U215">
        <f>ROUND((175/100)*ROUND((Source!AE90*Source!AV90)*Source!I90, 2), 2)</f>
        <v>0</v>
      </c>
      <c r="V215">
        <f>ROUND((108/100)*ROUND(Source!CS90*Source!I90, 2), 2)</f>
        <v>0</v>
      </c>
    </row>
    <row r="216" spans="1:22" x14ac:dyDescent="0.2">
      <c r="C216" s="26" t="str">
        <f>"Объем: "&amp;Source!I90&amp;"=90/"&amp;"100"</f>
        <v>Объем: 0,9=90/100</v>
      </c>
    </row>
    <row r="217" spans="1:22" ht="14.25" x14ac:dyDescent="0.2">
      <c r="A217" s="20"/>
      <c r="B217" s="21"/>
      <c r="C217" s="21" t="s">
        <v>685</v>
      </c>
      <c r="D217" s="22"/>
      <c r="E217" s="9"/>
      <c r="F217" s="24">
        <f>Source!AO90</f>
        <v>16330.43</v>
      </c>
      <c r="G217" s="23" t="str">
        <f>Source!DG90</f>
        <v/>
      </c>
      <c r="H217" s="9">
        <f>Source!AV90</f>
        <v>1</v>
      </c>
      <c r="I217" s="9">
        <f>IF(Source!BA90&lt;&gt; 0, Source!BA90, 1)</f>
        <v>1</v>
      </c>
      <c r="J217" s="25">
        <f>Source!S90</f>
        <v>14697.39</v>
      </c>
      <c r="K217" s="25"/>
    </row>
    <row r="218" spans="1:22" ht="14.25" x14ac:dyDescent="0.2">
      <c r="A218" s="20"/>
      <c r="B218" s="21"/>
      <c r="C218" s="21" t="s">
        <v>694</v>
      </c>
      <c r="D218" s="22"/>
      <c r="E218" s="9"/>
      <c r="F218" s="24">
        <f>Source!AL90</f>
        <v>2203.98</v>
      </c>
      <c r="G218" s="23" t="str">
        <f>Source!DD90</f>
        <v/>
      </c>
      <c r="H218" s="9">
        <f>Source!AW90</f>
        <v>1</v>
      </c>
      <c r="I218" s="9">
        <f>IF(Source!BC90&lt;&gt; 0, Source!BC90, 1)</f>
        <v>1</v>
      </c>
      <c r="J218" s="25">
        <f>Source!P90</f>
        <v>1983.58</v>
      </c>
      <c r="K218" s="25"/>
    </row>
    <row r="219" spans="1:22" ht="14.25" x14ac:dyDescent="0.2">
      <c r="A219" s="20"/>
      <c r="B219" s="21"/>
      <c r="C219" s="21" t="s">
        <v>688</v>
      </c>
      <c r="D219" s="22" t="s">
        <v>689</v>
      </c>
      <c r="E219" s="9">
        <f>Source!AT90</f>
        <v>70</v>
      </c>
      <c r="F219" s="24"/>
      <c r="G219" s="23"/>
      <c r="H219" s="9"/>
      <c r="I219" s="9"/>
      <c r="J219" s="25">
        <f>SUM(R215:R218)</f>
        <v>10288.17</v>
      </c>
      <c r="K219" s="25"/>
    </row>
    <row r="220" spans="1:22" ht="14.25" x14ac:dyDescent="0.2">
      <c r="A220" s="20"/>
      <c r="B220" s="21"/>
      <c r="C220" s="21" t="s">
        <v>690</v>
      </c>
      <c r="D220" s="22" t="s">
        <v>689</v>
      </c>
      <c r="E220" s="9">
        <f>Source!AU90</f>
        <v>10</v>
      </c>
      <c r="F220" s="24"/>
      <c r="G220" s="23"/>
      <c r="H220" s="9"/>
      <c r="I220" s="9"/>
      <c r="J220" s="25">
        <f>SUM(T215:T219)</f>
        <v>1469.74</v>
      </c>
      <c r="K220" s="25"/>
    </row>
    <row r="221" spans="1:22" ht="14.25" x14ac:dyDescent="0.2">
      <c r="A221" s="20"/>
      <c r="B221" s="21"/>
      <c r="C221" s="21" t="s">
        <v>692</v>
      </c>
      <c r="D221" s="22" t="s">
        <v>693</v>
      </c>
      <c r="E221" s="9">
        <f>Source!AQ90</f>
        <v>74.290000000000006</v>
      </c>
      <c r="F221" s="24"/>
      <c r="G221" s="23" t="str">
        <f>Source!DI90</f>
        <v/>
      </c>
      <c r="H221" s="9">
        <f>Source!AV90</f>
        <v>1</v>
      </c>
      <c r="I221" s="9"/>
      <c r="J221" s="25"/>
      <c r="K221" s="25">
        <f>Source!U90</f>
        <v>66.861000000000004</v>
      </c>
    </row>
    <row r="222" spans="1:22" ht="15" x14ac:dyDescent="0.25">
      <c r="A222" s="30"/>
      <c r="B222" s="30"/>
      <c r="C222" s="30"/>
      <c r="D222" s="30"/>
      <c r="E222" s="30"/>
      <c r="F222" s="30"/>
      <c r="G222" s="30"/>
      <c r="H222" s="30"/>
      <c r="I222" s="65">
        <f>J217+J218+J219+J220</f>
        <v>28438.880000000001</v>
      </c>
      <c r="J222" s="65"/>
      <c r="K222" s="31">
        <f>IF(Source!I90&lt;&gt;0, ROUND(I222/Source!I90, 2), 0)</f>
        <v>31598.76</v>
      </c>
      <c r="P222" s="28">
        <f>I222</f>
        <v>28438.880000000001</v>
      </c>
    </row>
    <row r="223" spans="1:22" ht="71.25" x14ac:dyDescent="0.2">
      <c r="A223" s="20" t="str">
        <f>Source!E91</f>
        <v>21</v>
      </c>
      <c r="B223" s="21" t="str">
        <f>Source!F91</f>
        <v>1.14-3505-2-1/2</v>
      </c>
      <c r="C223" s="21" t="str">
        <f>Source!G91</f>
        <v>Облицовка поликарбонатом ячеистым толщиной 10 мм металлических конструкций с креплением через соединительные профили, поверхность вертикальная</v>
      </c>
      <c r="D223" s="22" t="str">
        <f>Source!DW91</f>
        <v>100 м2</v>
      </c>
      <c r="E223" s="9">
        <f>Source!I91</f>
        <v>1.4244000000000001</v>
      </c>
      <c r="F223" s="24"/>
      <c r="G223" s="23"/>
      <c r="H223" s="9"/>
      <c r="I223" s="9"/>
      <c r="J223" s="25"/>
      <c r="K223" s="25"/>
      <c r="Q223">
        <f>ROUND((Source!BZ91/100)*ROUND((Source!AF91*Source!AV91)*Source!I91, 2), 2)</f>
        <v>20445.87</v>
      </c>
      <c r="R223">
        <f>Source!X91</f>
        <v>20445.87</v>
      </c>
      <c r="S223">
        <f>ROUND((Source!CA91/100)*ROUND((Source!AF91*Source!AV91)*Source!I91, 2), 2)</f>
        <v>2920.84</v>
      </c>
      <c r="T223">
        <f>Source!Y91</f>
        <v>2920.84</v>
      </c>
      <c r="U223">
        <f>ROUND((175/100)*ROUND((Source!AE91*Source!AV91)*Source!I91, 2), 2)</f>
        <v>29.35</v>
      </c>
      <c r="V223">
        <f>ROUND((108/100)*ROUND(Source!CS91*Source!I91, 2), 2)</f>
        <v>18.11</v>
      </c>
    </row>
    <row r="224" spans="1:22" x14ac:dyDescent="0.2">
      <c r="C224" s="26" t="str">
        <f>"Объем: "&amp;Source!I91&amp;"=142,44/"&amp;"100"</f>
        <v>Объем: 1,4244=142,44/100</v>
      </c>
    </row>
    <row r="225" spans="1:22" ht="14.25" x14ac:dyDescent="0.2">
      <c r="A225" s="20"/>
      <c r="B225" s="21"/>
      <c r="C225" s="21" t="s">
        <v>685</v>
      </c>
      <c r="D225" s="22"/>
      <c r="E225" s="9"/>
      <c r="F225" s="24">
        <f>Source!AO91</f>
        <v>20505.75</v>
      </c>
      <c r="G225" s="23" t="str">
        <f>Source!DG91</f>
        <v/>
      </c>
      <c r="H225" s="9">
        <f>Source!AV91</f>
        <v>1</v>
      </c>
      <c r="I225" s="9">
        <f>IF(Source!BA91&lt;&gt; 0, Source!BA91, 1)</f>
        <v>1</v>
      </c>
      <c r="J225" s="25">
        <f>Source!S91</f>
        <v>29208.39</v>
      </c>
      <c r="K225" s="25"/>
    </row>
    <row r="226" spans="1:22" ht="14.25" x14ac:dyDescent="0.2">
      <c r="A226" s="20"/>
      <c r="B226" s="21"/>
      <c r="C226" s="21" t="s">
        <v>686</v>
      </c>
      <c r="D226" s="22"/>
      <c r="E226" s="9"/>
      <c r="F226" s="24">
        <f>Source!AM91</f>
        <v>110.56</v>
      </c>
      <c r="G226" s="23" t="str">
        <f>Source!DE91</f>
        <v/>
      </c>
      <c r="H226" s="9">
        <f>Source!AV91</f>
        <v>1</v>
      </c>
      <c r="I226" s="9">
        <f>IF(Source!BB91&lt;&gt; 0, Source!BB91, 1)</f>
        <v>1</v>
      </c>
      <c r="J226" s="25">
        <f>Source!Q91</f>
        <v>157.47999999999999</v>
      </c>
      <c r="K226" s="25"/>
    </row>
    <row r="227" spans="1:22" ht="14.25" x14ac:dyDescent="0.2">
      <c r="A227" s="20"/>
      <c r="B227" s="21"/>
      <c r="C227" s="21" t="s">
        <v>687</v>
      </c>
      <c r="D227" s="22"/>
      <c r="E227" s="9"/>
      <c r="F227" s="24">
        <f>Source!AN91</f>
        <v>11.77</v>
      </c>
      <c r="G227" s="23" t="str">
        <f>Source!DF91</f>
        <v/>
      </c>
      <c r="H227" s="9">
        <f>Source!AV91</f>
        <v>1</v>
      </c>
      <c r="I227" s="9">
        <f>IF(Source!BS91&lt;&gt; 0, Source!BS91, 1)</f>
        <v>1</v>
      </c>
      <c r="J227" s="27">
        <f>Source!R91</f>
        <v>16.77</v>
      </c>
      <c r="K227" s="25"/>
    </row>
    <row r="228" spans="1:22" ht="14.25" x14ac:dyDescent="0.2">
      <c r="A228" s="20"/>
      <c r="B228" s="21"/>
      <c r="C228" s="21" t="s">
        <v>694</v>
      </c>
      <c r="D228" s="22"/>
      <c r="E228" s="9"/>
      <c r="F228" s="24">
        <f>Source!AL91</f>
        <v>51343.51</v>
      </c>
      <c r="G228" s="23" t="str">
        <f>Source!DD91</f>
        <v/>
      </c>
      <c r="H228" s="9">
        <f>Source!AW91</f>
        <v>1</v>
      </c>
      <c r="I228" s="9">
        <f>IF(Source!BC91&lt;&gt; 0, Source!BC91, 1)</f>
        <v>1</v>
      </c>
      <c r="J228" s="25">
        <f>Source!P91</f>
        <v>73133.7</v>
      </c>
      <c r="K228" s="25"/>
    </row>
    <row r="229" spans="1:22" ht="14.25" x14ac:dyDescent="0.2">
      <c r="A229" s="20"/>
      <c r="B229" s="21"/>
      <c r="C229" s="21" t="s">
        <v>688</v>
      </c>
      <c r="D229" s="22" t="s">
        <v>689</v>
      </c>
      <c r="E229" s="9">
        <f>Source!AT91</f>
        <v>70</v>
      </c>
      <c r="F229" s="24"/>
      <c r="G229" s="23"/>
      <c r="H229" s="9"/>
      <c r="I229" s="9"/>
      <c r="J229" s="25">
        <f>SUM(R223:R228)</f>
        <v>20445.87</v>
      </c>
      <c r="K229" s="25"/>
    </row>
    <row r="230" spans="1:22" ht="14.25" x14ac:dyDescent="0.2">
      <c r="A230" s="20"/>
      <c r="B230" s="21"/>
      <c r="C230" s="21" t="s">
        <v>690</v>
      </c>
      <c r="D230" s="22" t="s">
        <v>689</v>
      </c>
      <c r="E230" s="9">
        <f>Source!AU91</f>
        <v>10</v>
      </c>
      <c r="F230" s="24"/>
      <c r="G230" s="23"/>
      <c r="H230" s="9"/>
      <c r="I230" s="9"/>
      <c r="J230" s="25">
        <f>SUM(T223:T229)</f>
        <v>2920.84</v>
      </c>
      <c r="K230" s="25"/>
    </row>
    <row r="231" spans="1:22" ht="14.25" x14ac:dyDescent="0.2">
      <c r="A231" s="20"/>
      <c r="B231" s="21"/>
      <c r="C231" s="21" t="s">
        <v>691</v>
      </c>
      <c r="D231" s="22" t="s">
        <v>689</v>
      </c>
      <c r="E231" s="9">
        <f>108</f>
        <v>108</v>
      </c>
      <c r="F231" s="24"/>
      <c r="G231" s="23"/>
      <c r="H231" s="9"/>
      <c r="I231" s="9"/>
      <c r="J231" s="25">
        <f>SUM(V223:V230)</f>
        <v>18.11</v>
      </c>
      <c r="K231" s="25"/>
    </row>
    <row r="232" spans="1:22" ht="14.25" x14ac:dyDescent="0.2">
      <c r="A232" s="20"/>
      <c r="B232" s="21"/>
      <c r="C232" s="21" t="s">
        <v>692</v>
      </c>
      <c r="D232" s="22" t="s">
        <v>693</v>
      </c>
      <c r="E232" s="9">
        <f>Source!AQ91</f>
        <v>91</v>
      </c>
      <c r="F232" s="24"/>
      <c r="G232" s="23" t="str">
        <f>Source!DI91</f>
        <v/>
      </c>
      <c r="H232" s="9">
        <f>Source!AV91</f>
        <v>1</v>
      </c>
      <c r="I232" s="9"/>
      <c r="J232" s="25"/>
      <c r="K232" s="25">
        <f>Source!U91</f>
        <v>129.62040000000002</v>
      </c>
    </row>
    <row r="233" spans="1:22" ht="15" x14ac:dyDescent="0.25">
      <c r="A233" s="30"/>
      <c r="B233" s="30"/>
      <c r="C233" s="30"/>
      <c r="D233" s="30"/>
      <c r="E233" s="30"/>
      <c r="F233" s="30"/>
      <c r="G233" s="30"/>
      <c r="H233" s="30"/>
      <c r="I233" s="65">
        <f>J225+J226+J228+J229+J230+J231</f>
        <v>125884.38999999998</v>
      </c>
      <c r="J233" s="65"/>
      <c r="K233" s="31">
        <f>IF(Source!I91&lt;&gt;0, ROUND(I233/Source!I91, 2), 0)</f>
        <v>88377.13</v>
      </c>
      <c r="P233" s="28">
        <f>I233</f>
        <v>125884.38999999998</v>
      </c>
    </row>
    <row r="234" spans="1:22" ht="42.75" x14ac:dyDescent="0.2">
      <c r="A234" s="20" t="str">
        <f>Source!E92</f>
        <v>22</v>
      </c>
      <c r="B234" s="21" t="str">
        <f>Source!F92</f>
        <v>1.7-3203-11-1/1</v>
      </c>
      <c r="C234" s="21" t="str">
        <f>Source!G92</f>
        <v>Монтаж кровельного покрытия из профилированного листа при высоте здания до 25 м</v>
      </c>
      <c r="D234" s="22" t="str">
        <f>Source!DW92</f>
        <v>100 м2</v>
      </c>
      <c r="E234" s="9">
        <f>Source!I92</f>
        <v>1.2</v>
      </c>
      <c r="F234" s="24"/>
      <c r="G234" s="23"/>
      <c r="H234" s="9"/>
      <c r="I234" s="9"/>
      <c r="J234" s="25"/>
      <c r="K234" s="25"/>
      <c r="Q234">
        <f>ROUND((Source!BZ92/100)*ROUND((Source!AF92*Source!AV92)*Source!I92, 2), 2)</f>
        <v>7881.09</v>
      </c>
      <c r="R234">
        <f>Source!X92</f>
        <v>7881.09</v>
      </c>
      <c r="S234">
        <f>ROUND((Source!CA92/100)*ROUND((Source!AF92*Source!AV92)*Source!I92, 2), 2)</f>
        <v>1125.8699999999999</v>
      </c>
      <c r="T234">
        <f>Source!Y92</f>
        <v>1125.8699999999999</v>
      </c>
      <c r="U234">
        <f>ROUND((175/100)*ROUND((Source!AE92*Source!AV92)*Source!I92, 2), 2)</f>
        <v>7.18</v>
      </c>
      <c r="V234">
        <f>ROUND((108/100)*ROUND(Source!CS92*Source!I92, 2), 2)</f>
        <v>4.43</v>
      </c>
    </row>
    <row r="235" spans="1:22" x14ac:dyDescent="0.2">
      <c r="C235" s="26" t="str">
        <f>"Объем: "&amp;Source!I92&amp;"=120/"&amp;"100"</f>
        <v>Объем: 1,2=120/100</v>
      </c>
    </row>
    <row r="236" spans="1:22" ht="14.25" x14ac:dyDescent="0.2">
      <c r="A236" s="20"/>
      <c r="B236" s="21"/>
      <c r="C236" s="21" t="s">
        <v>685</v>
      </c>
      <c r="D236" s="22"/>
      <c r="E236" s="9"/>
      <c r="F236" s="24">
        <f>Source!AO92</f>
        <v>9382.25</v>
      </c>
      <c r="G236" s="23" t="str">
        <f>Source!DG92</f>
        <v/>
      </c>
      <c r="H236" s="9">
        <f>Source!AV92</f>
        <v>1</v>
      </c>
      <c r="I236" s="9">
        <f>IF(Source!BA92&lt;&gt; 0, Source!BA92, 1)</f>
        <v>1</v>
      </c>
      <c r="J236" s="25">
        <f>Source!S92</f>
        <v>11258.7</v>
      </c>
      <c r="K236" s="25"/>
    </row>
    <row r="237" spans="1:22" ht="14.25" x14ac:dyDescent="0.2">
      <c r="A237" s="20"/>
      <c r="B237" s="21"/>
      <c r="C237" s="21" t="s">
        <v>686</v>
      </c>
      <c r="D237" s="22"/>
      <c r="E237" s="9"/>
      <c r="F237" s="24">
        <f>Source!AM92</f>
        <v>31.83</v>
      </c>
      <c r="G237" s="23" t="str">
        <f>Source!DE92</f>
        <v/>
      </c>
      <c r="H237" s="9">
        <f>Source!AV92</f>
        <v>1</v>
      </c>
      <c r="I237" s="9">
        <f>IF(Source!BB92&lt;&gt; 0, Source!BB92, 1)</f>
        <v>1</v>
      </c>
      <c r="J237" s="25">
        <f>Source!Q92</f>
        <v>38.200000000000003</v>
      </c>
      <c r="K237" s="25"/>
    </row>
    <row r="238" spans="1:22" ht="14.25" x14ac:dyDescent="0.2">
      <c r="A238" s="20"/>
      <c r="B238" s="21"/>
      <c r="C238" s="21" t="s">
        <v>687</v>
      </c>
      <c r="D238" s="22"/>
      <c r="E238" s="9"/>
      <c r="F238" s="24">
        <f>Source!AN92</f>
        <v>3.42</v>
      </c>
      <c r="G238" s="23" t="str">
        <f>Source!DF92</f>
        <v/>
      </c>
      <c r="H238" s="9">
        <f>Source!AV92</f>
        <v>1</v>
      </c>
      <c r="I238" s="9">
        <f>IF(Source!BS92&lt;&gt; 0, Source!BS92, 1)</f>
        <v>1</v>
      </c>
      <c r="J238" s="27">
        <f>Source!R92</f>
        <v>4.0999999999999996</v>
      </c>
      <c r="K238" s="25"/>
    </row>
    <row r="239" spans="1:22" ht="14.25" x14ac:dyDescent="0.2">
      <c r="A239" s="20"/>
      <c r="B239" s="21"/>
      <c r="C239" s="21" t="s">
        <v>694</v>
      </c>
      <c r="D239" s="22"/>
      <c r="E239" s="9"/>
      <c r="F239" s="24">
        <f>Source!AL92</f>
        <v>40923.85</v>
      </c>
      <c r="G239" s="23" t="str">
        <f>Source!DD92</f>
        <v/>
      </c>
      <c r="H239" s="9">
        <f>Source!AW92</f>
        <v>1</v>
      </c>
      <c r="I239" s="9">
        <f>IF(Source!BC92&lt;&gt; 0, Source!BC92, 1)</f>
        <v>1</v>
      </c>
      <c r="J239" s="25">
        <f>Source!P92</f>
        <v>49108.62</v>
      </c>
      <c r="K239" s="25"/>
    </row>
    <row r="240" spans="1:22" ht="14.25" x14ac:dyDescent="0.2">
      <c r="A240" s="20"/>
      <c r="B240" s="21"/>
      <c r="C240" s="21" t="s">
        <v>688</v>
      </c>
      <c r="D240" s="22" t="s">
        <v>689</v>
      </c>
      <c r="E240" s="9">
        <f>Source!AT92</f>
        <v>70</v>
      </c>
      <c r="F240" s="24"/>
      <c r="G240" s="23"/>
      <c r="H240" s="9"/>
      <c r="I240" s="9"/>
      <c r="J240" s="25">
        <f>SUM(R234:R239)</f>
        <v>7881.09</v>
      </c>
      <c r="K240" s="25"/>
    </row>
    <row r="241" spans="1:22" ht="14.25" x14ac:dyDescent="0.2">
      <c r="A241" s="20"/>
      <c r="B241" s="21"/>
      <c r="C241" s="21" t="s">
        <v>690</v>
      </c>
      <c r="D241" s="22" t="s">
        <v>689</v>
      </c>
      <c r="E241" s="9">
        <f>Source!AU92</f>
        <v>10</v>
      </c>
      <c r="F241" s="24"/>
      <c r="G241" s="23"/>
      <c r="H241" s="9"/>
      <c r="I241" s="9"/>
      <c r="J241" s="25">
        <f>SUM(T234:T240)</f>
        <v>1125.8699999999999</v>
      </c>
      <c r="K241" s="25"/>
    </row>
    <row r="242" spans="1:22" ht="14.25" x14ac:dyDescent="0.2">
      <c r="A242" s="20"/>
      <c r="B242" s="21"/>
      <c r="C242" s="21" t="s">
        <v>691</v>
      </c>
      <c r="D242" s="22" t="s">
        <v>689</v>
      </c>
      <c r="E242" s="9">
        <f>108</f>
        <v>108</v>
      </c>
      <c r="F242" s="24"/>
      <c r="G242" s="23"/>
      <c r="H242" s="9"/>
      <c r="I242" s="9"/>
      <c r="J242" s="25">
        <f>SUM(V234:V241)</f>
        <v>4.43</v>
      </c>
      <c r="K242" s="25"/>
    </row>
    <row r="243" spans="1:22" ht="14.25" x14ac:dyDescent="0.2">
      <c r="A243" s="20"/>
      <c r="B243" s="21"/>
      <c r="C243" s="21" t="s">
        <v>692</v>
      </c>
      <c r="D243" s="22" t="s">
        <v>693</v>
      </c>
      <c r="E243" s="9">
        <f>Source!AQ92</f>
        <v>36.46</v>
      </c>
      <c r="F243" s="24"/>
      <c r="G243" s="23" t="str">
        <f>Source!DI92</f>
        <v/>
      </c>
      <c r="H243" s="9">
        <f>Source!AV92</f>
        <v>1</v>
      </c>
      <c r="I243" s="9"/>
      <c r="J243" s="25"/>
      <c r="K243" s="25">
        <f>Source!U92</f>
        <v>43.752000000000002</v>
      </c>
    </row>
    <row r="244" spans="1:22" ht="15" x14ac:dyDescent="0.25">
      <c r="A244" s="30"/>
      <c r="B244" s="30"/>
      <c r="C244" s="30"/>
      <c r="D244" s="30"/>
      <c r="E244" s="30"/>
      <c r="F244" s="30"/>
      <c r="G244" s="30"/>
      <c r="H244" s="30"/>
      <c r="I244" s="65">
        <f>J236+J237+J239+J240+J241+J242</f>
        <v>69416.909999999989</v>
      </c>
      <c r="J244" s="65"/>
      <c r="K244" s="31">
        <f>IF(Source!I92&lt;&gt;0, ROUND(I244/Source!I92, 2), 0)</f>
        <v>57847.43</v>
      </c>
      <c r="P244" s="28">
        <f>I244</f>
        <v>69416.909999999989</v>
      </c>
    </row>
    <row r="246" spans="1:22" ht="15" x14ac:dyDescent="0.25">
      <c r="A246" s="69" t="str">
        <f>CONCATENATE("Итого по подразделу: ",IF(Source!G94&lt;&gt;"Новый подраздел", Source!G94, ""))</f>
        <v>Итого по подразделу: Строительные работы</v>
      </c>
      <c r="B246" s="69"/>
      <c r="C246" s="69"/>
      <c r="D246" s="69"/>
      <c r="E246" s="69"/>
      <c r="F246" s="69"/>
      <c r="G246" s="69"/>
      <c r="H246" s="69"/>
      <c r="I246" s="66">
        <f>SUM(P89:P245)</f>
        <v>836927.81</v>
      </c>
      <c r="J246" s="67"/>
      <c r="K246" s="33"/>
    </row>
    <row r="249" spans="1:22" ht="15" x14ac:dyDescent="0.25">
      <c r="A249" s="69" t="str">
        <f>CONCATENATE("Итого по разделу: ",IF(Source!G124&lt;&gt;"Новый раздел", Source!G124, ""))</f>
        <v>Итого по разделу: Веранды</v>
      </c>
      <c r="B249" s="69"/>
      <c r="C249" s="69"/>
      <c r="D249" s="69"/>
      <c r="E249" s="69"/>
      <c r="F249" s="69"/>
      <c r="G249" s="69"/>
      <c r="H249" s="69"/>
      <c r="I249" s="66">
        <f>SUM(P34:P248)</f>
        <v>1093359.6499999999</v>
      </c>
      <c r="J249" s="67"/>
      <c r="K249" s="33"/>
    </row>
    <row r="252" spans="1:22" ht="16.5" x14ac:dyDescent="0.25">
      <c r="A252" s="68" t="str">
        <f>CONCATENATE("Раздел: ",IF(Source!G154&lt;&gt;"Новый раздел", Source!G154, ""))</f>
        <v>Раздел: Игровые и спортивные площадки</v>
      </c>
      <c r="B252" s="68"/>
      <c r="C252" s="68"/>
      <c r="D252" s="68"/>
      <c r="E252" s="68"/>
      <c r="F252" s="68"/>
      <c r="G252" s="68"/>
      <c r="H252" s="68"/>
      <c r="I252" s="68"/>
      <c r="J252" s="68"/>
      <c r="K252" s="68"/>
    </row>
    <row r="254" spans="1:22" ht="16.5" x14ac:dyDescent="0.25">
      <c r="A254" s="68" t="str">
        <f>CONCATENATE("Подраздел: ",IF(Source!G158&lt;&gt;"Новый подраздел", Source!G158, ""))</f>
        <v>Подраздел: Демонтажные работы</v>
      </c>
      <c r="B254" s="68"/>
      <c r="C254" s="68"/>
      <c r="D254" s="68"/>
      <c r="E254" s="68"/>
      <c r="F254" s="68"/>
      <c r="G254" s="68"/>
      <c r="H254" s="68"/>
      <c r="I254" s="68"/>
      <c r="J254" s="68"/>
      <c r="K254" s="68"/>
    </row>
    <row r="255" spans="1:22" ht="156" x14ac:dyDescent="0.2">
      <c r="A255" s="20" t="str">
        <f>Source!E162</f>
        <v>23</v>
      </c>
      <c r="B255" s="21" t="s">
        <v>695</v>
      </c>
      <c r="C255" s="21" t="s">
        <v>696</v>
      </c>
      <c r="D255" s="22" t="str">
        <f>Source!DW162</f>
        <v>т</v>
      </c>
      <c r="E255" s="9">
        <f>Source!I162</f>
        <v>2.2000000000000002</v>
      </c>
      <c r="F255" s="24"/>
      <c r="G255" s="23"/>
      <c r="H255" s="9"/>
      <c r="I255" s="9"/>
      <c r="J255" s="25"/>
      <c r="K255" s="25"/>
      <c r="Q255">
        <f>ROUND((Source!BZ162/100)*ROUND((Source!AF162*Source!AV162)*Source!I162, 2), 2)</f>
        <v>6927.12</v>
      </c>
      <c r="R255">
        <f>Source!X162</f>
        <v>6927.12</v>
      </c>
      <c r="S255">
        <f>ROUND((Source!CA162/100)*ROUND((Source!AF162*Source!AV162)*Source!I162, 2), 2)</f>
        <v>989.59</v>
      </c>
      <c r="T255">
        <f>Source!Y162</f>
        <v>989.59</v>
      </c>
      <c r="U255">
        <f>ROUND((175/100)*ROUND((Source!AE162*Source!AV162)*Source!I162, 2), 2)</f>
        <v>19.760000000000002</v>
      </c>
      <c r="V255">
        <f>ROUND((108/100)*ROUND(Source!CS162*Source!I162, 2), 2)</f>
        <v>12.19</v>
      </c>
    </row>
    <row r="256" spans="1:22" ht="14.25" x14ac:dyDescent="0.2">
      <c r="A256" s="20"/>
      <c r="B256" s="21"/>
      <c r="C256" s="21" t="s">
        <v>685</v>
      </c>
      <c r="D256" s="22"/>
      <c r="E256" s="9"/>
      <c r="F256" s="24">
        <f>Source!AO162</f>
        <v>22490.639999999999</v>
      </c>
      <c r="G256" s="23" t="str">
        <f>Source!DG162</f>
        <v>)*0,2</v>
      </c>
      <c r="H256" s="9">
        <f>Source!AV162</f>
        <v>1</v>
      </c>
      <c r="I256" s="9">
        <f>IF(Source!BA162&lt;&gt; 0, Source!BA162, 1)</f>
        <v>1</v>
      </c>
      <c r="J256" s="25">
        <f>Source!S162</f>
        <v>9895.8799999999992</v>
      </c>
      <c r="K256" s="25"/>
    </row>
    <row r="257" spans="1:22" ht="14.25" x14ac:dyDescent="0.2">
      <c r="A257" s="20"/>
      <c r="B257" s="21"/>
      <c r="C257" s="21" t="s">
        <v>686</v>
      </c>
      <c r="D257" s="22"/>
      <c r="E257" s="9"/>
      <c r="F257" s="24">
        <f>Source!AM162</f>
        <v>589</v>
      </c>
      <c r="G257" s="23" t="str">
        <f>Source!DE162</f>
        <v>)*0,2</v>
      </c>
      <c r="H257" s="9">
        <f>Source!AV162</f>
        <v>1</v>
      </c>
      <c r="I257" s="9">
        <f>IF(Source!BB162&lt;&gt; 0, Source!BB162, 1)</f>
        <v>1</v>
      </c>
      <c r="J257" s="25">
        <f>Source!Q162</f>
        <v>259.16000000000003</v>
      </c>
      <c r="K257" s="25"/>
    </row>
    <row r="258" spans="1:22" ht="14.25" x14ac:dyDescent="0.2">
      <c r="A258" s="20"/>
      <c r="B258" s="21"/>
      <c r="C258" s="21" t="s">
        <v>687</v>
      </c>
      <c r="D258" s="22"/>
      <c r="E258" s="9"/>
      <c r="F258" s="24">
        <f>Source!AN162</f>
        <v>25.65</v>
      </c>
      <c r="G258" s="23" t="str">
        <f>Source!DF162</f>
        <v>)*0,2</v>
      </c>
      <c r="H258" s="9">
        <f>Source!AV162</f>
        <v>1</v>
      </c>
      <c r="I258" s="9">
        <f>IF(Source!BS162&lt;&gt; 0, Source!BS162, 1)</f>
        <v>1</v>
      </c>
      <c r="J258" s="27">
        <f>Source!R162</f>
        <v>11.29</v>
      </c>
      <c r="K258" s="25"/>
    </row>
    <row r="259" spans="1:22" ht="14.25" x14ac:dyDescent="0.2">
      <c r="A259" s="20"/>
      <c r="B259" s="21"/>
      <c r="C259" s="21" t="s">
        <v>688</v>
      </c>
      <c r="D259" s="22" t="s">
        <v>689</v>
      </c>
      <c r="E259" s="9">
        <f>Source!AT162</f>
        <v>70</v>
      </c>
      <c r="F259" s="24"/>
      <c r="G259" s="23"/>
      <c r="H259" s="9"/>
      <c r="I259" s="9"/>
      <c r="J259" s="25">
        <f>SUM(R255:R258)</f>
        <v>6927.12</v>
      </c>
      <c r="K259" s="25"/>
    </row>
    <row r="260" spans="1:22" ht="14.25" x14ac:dyDescent="0.2">
      <c r="A260" s="20"/>
      <c r="B260" s="21"/>
      <c r="C260" s="21" t="s">
        <v>690</v>
      </c>
      <c r="D260" s="22" t="s">
        <v>689</v>
      </c>
      <c r="E260" s="9">
        <f>Source!AU162</f>
        <v>10</v>
      </c>
      <c r="F260" s="24"/>
      <c r="G260" s="23"/>
      <c r="H260" s="9"/>
      <c r="I260" s="9"/>
      <c r="J260" s="25">
        <f>SUM(T255:T259)</f>
        <v>989.59</v>
      </c>
      <c r="K260" s="25"/>
    </row>
    <row r="261" spans="1:22" ht="14.25" x14ac:dyDescent="0.2">
      <c r="A261" s="20"/>
      <c r="B261" s="21"/>
      <c r="C261" s="21" t="s">
        <v>691</v>
      </c>
      <c r="D261" s="22" t="s">
        <v>689</v>
      </c>
      <c r="E261" s="9">
        <f>108</f>
        <v>108</v>
      </c>
      <c r="F261" s="24"/>
      <c r="G261" s="23"/>
      <c r="H261" s="9"/>
      <c r="I261" s="9"/>
      <c r="J261" s="25">
        <f>SUM(V255:V260)</f>
        <v>12.19</v>
      </c>
      <c r="K261" s="25"/>
    </row>
    <row r="262" spans="1:22" ht="14.25" x14ac:dyDescent="0.2">
      <c r="A262" s="20"/>
      <c r="B262" s="21"/>
      <c r="C262" s="21" t="s">
        <v>692</v>
      </c>
      <c r="D262" s="22" t="s">
        <v>693</v>
      </c>
      <c r="E262" s="9">
        <f>Source!AQ162</f>
        <v>87.4</v>
      </c>
      <c r="F262" s="24"/>
      <c r="G262" s="23" t="str">
        <f>Source!DI162</f>
        <v>)*0,2</v>
      </c>
      <c r="H262" s="9">
        <f>Source!AV162</f>
        <v>1</v>
      </c>
      <c r="I262" s="9"/>
      <c r="J262" s="25"/>
      <c r="K262" s="25">
        <f>Source!U162</f>
        <v>38.456000000000003</v>
      </c>
    </row>
    <row r="263" spans="1:22" ht="15" x14ac:dyDescent="0.25">
      <c r="A263" s="30"/>
      <c r="B263" s="30"/>
      <c r="C263" s="30"/>
      <c r="D263" s="30"/>
      <c r="E263" s="30"/>
      <c r="F263" s="30"/>
      <c r="G263" s="30"/>
      <c r="H263" s="30"/>
      <c r="I263" s="65">
        <f>J256+J257+J259+J260+J261</f>
        <v>18083.939999999999</v>
      </c>
      <c r="J263" s="65"/>
      <c r="K263" s="31">
        <f>IF(Source!I162&lt;&gt;0, ROUND(I263/Source!I162, 2), 0)</f>
        <v>8219.9699999999993</v>
      </c>
      <c r="P263" s="28">
        <f>I263</f>
        <v>18083.939999999999</v>
      </c>
    </row>
    <row r="264" spans="1:22" ht="14.25" x14ac:dyDescent="0.2">
      <c r="C264" s="32" t="str">
        <f>Source!G163</f>
        <v>Демонтаж МАФ 16 шт.</v>
      </c>
    </row>
    <row r="266" spans="1:22" ht="15" x14ac:dyDescent="0.25">
      <c r="A266" s="69" t="str">
        <f>CONCATENATE("Итого по подразделу: ",IF(Source!G165&lt;&gt;"Новый подраздел", Source!G165, ""))</f>
        <v>Итого по подразделу: Демонтажные работы</v>
      </c>
      <c r="B266" s="69"/>
      <c r="C266" s="69"/>
      <c r="D266" s="69"/>
      <c r="E266" s="69"/>
      <c r="F266" s="69"/>
      <c r="G266" s="69"/>
      <c r="H266" s="69"/>
      <c r="I266" s="66">
        <f>SUM(P254:P265)</f>
        <v>18083.939999999999</v>
      </c>
      <c r="J266" s="67"/>
      <c r="K266" s="33"/>
    </row>
    <row r="269" spans="1:22" ht="16.5" x14ac:dyDescent="0.25">
      <c r="A269" s="68" t="str">
        <f>CONCATENATE("Подраздел: ",IF(Source!G195&lt;&gt;"Новый подраздел", Source!G195, ""))</f>
        <v>Подраздел: Строительные работы</v>
      </c>
      <c r="B269" s="68"/>
      <c r="C269" s="68"/>
      <c r="D269" s="68"/>
      <c r="E269" s="68"/>
      <c r="F269" s="68"/>
      <c r="G269" s="68"/>
      <c r="H269" s="68"/>
      <c r="I269" s="68"/>
      <c r="J269" s="68"/>
      <c r="K269" s="68"/>
    </row>
    <row r="270" spans="1:22" ht="42.75" x14ac:dyDescent="0.2">
      <c r="A270" s="20" t="str">
        <f>Source!E199</f>
        <v>24</v>
      </c>
      <c r="B270" s="21" t="str">
        <f>Source!F199</f>
        <v>1.1-3303-2-1/1</v>
      </c>
      <c r="C270" s="21" t="str">
        <f>Source!G199</f>
        <v>Разработка грунта вручную в траншеях глубиной до 2 м без креплений с откосами группа грунтов 1-3</v>
      </c>
      <c r="D270" s="22" t="str">
        <f>Source!DW199</f>
        <v>100 м3</v>
      </c>
      <c r="E270" s="9">
        <f>Source!I199</f>
        <v>0.75749999999999995</v>
      </c>
      <c r="F270" s="24"/>
      <c r="G270" s="23"/>
      <c r="H270" s="9"/>
      <c r="I270" s="9"/>
      <c r="J270" s="25"/>
      <c r="K270" s="25"/>
      <c r="Q270">
        <f>ROUND((Source!BZ199/100)*ROUND((Source!AF199*Source!AV199)*Source!I199, 2), 2)</f>
        <v>22244.57</v>
      </c>
      <c r="R270">
        <f>Source!X199</f>
        <v>22244.57</v>
      </c>
      <c r="S270">
        <f>ROUND((Source!CA199/100)*ROUND((Source!AF199*Source!AV199)*Source!I199, 2), 2)</f>
        <v>3177.8</v>
      </c>
      <c r="T270">
        <f>Source!Y199</f>
        <v>3177.8</v>
      </c>
      <c r="U270">
        <f>ROUND((175/100)*ROUND((Source!AE199*Source!AV199)*Source!I199, 2), 2)</f>
        <v>0</v>
      </c>
      <c r="V270">
        <f>ROUND((108/100)*ROUND(Source!CS199*Source!I199, 2), 2)</f>
        <v>0</v>
      </c>
    </row>
    <row r="271" spans="1:22" x14ac:dyDescent="0.2">
      <c r="C271" s="26" t="str">
        <f>"Объем: "&amp;Source!I199&amp;"=75,75/"&amp;"100"</f>
        <v>Объем: 0,7575=75,75/100</v>
      </c>
    </row>
    <row r="272" spans="1:22" ht="14.25" x14ac:dyDescent="0.2">
      <c r="A272" s="20"/>
      <c r="B272" s="21"/>
      <c r="C272" s="21" t="s">
        <v>685</v>
      </c>
      <c r="D272" s="22"/>
      <c r="E272" s="9"/>
      <c r="F272" s="24">
        <f>Source!AO199</f>
        <v>41951.1</v>
      </c>
      <c r="G272" s="23" t="str">
        <f>Source!DG199</f>
        <v/>
      </c>
      <c r="H272" s="9">
        <f>Source!AV199</f>
        <v>1</v>
      </c>
      <c r="I272" s="9">
        <f>IF(Source!BA199&lt;&gt; 0, Source!BA199, 1)</f>
        <v>1</v>
      </c>
      <c r="J272" s="25">
        <f>Source!S199</f>
        <v>31777.96</v>
      </c>
      <c r="K272" s="25"/>
    </row>
    <row r="273" spans="1:22" ht="14.25" x14ac:dyDescent="0.2">
      <c r="A273" s="20"/>
      <c r="B273" s="21"/>
      <c r="C273" s="21" t="s">
        <v>688</v>
      </c>
      <c r="D273" s="22" t="s">
        <v>689</v>
      </c>
      <c r="E273" s="9">
        <f>Source!AT199</f>
        <v>70</v>
      </c>
      <c r="F273" s="24"/>
      <c r="G273" s="23"/>
      <c r="H273" s="9"/>
      <c r="I273" s="9"/>
      <c r="J273" s="25">
        <f>SUM(R270:R272)</f>
        <v>22244.57</v>
      </c>
      <c r="K273" s="25"/>
    </row>
    <row r="274" spans="1:22" ht="14.25" x14ac:dyDescent="0.2">
      <c r="A274" s="20"/>
      <c r="B274" s="21"/>
      <c r="C274" s="21" t="s">
        <v>690</v>
      </c>
      <c r="D274" s="22" t="s">
        <v>689</v>
      </c>
      <c r="E274" s="9">
        <f>Source!AU199</f>
        <v>10</v>
      </c>
      <c r="F274" s="24"/>
      <c r="G274" s="23"/>
      <c r="H274" s="9"/>
      <c r="I274" s="9"/>
      <c r="J274" s="25">
        <f>SUM(T270:T273)</f>
        <v>3177.8</v>
      </c>
      <c r="K274" s="25"/>
    </row>
    <row r="275" spans="1:22" ht="14.25" x14ac:dyDescent="0.2">
      <c r="A275" s="20"/>
      <c r="B275" s="21"/>
      <c r="C275" s="21" t="s">
        <v>692</v>
      </c>
      <c r="D275" s="22" t="s">
        <v>693</v>
      </c>
      <c r="E275" s="9">
        <f>Source!AQ199</f>
        <v>221.6</v>
      </c>
      <c r="F275" s="24"/>
      <c r="G275" s="23" t="str">
        <f>Source!DI199</f>
        <v/>
      </c>
      <c r="H275" s="9">
        <f>Source!AV199</f>
        <v>1</v>
      </c>
      <c r="I275" s="9"/>
      <c r="J275" s="25"/>
      <c r="K275" s="25">
        <f>Source!U199</f>
        <v>167.86199999999999</v>
      </c>
    </row>
    <row r="276" spans="1:22" ht="15" x14ac:dyDescent="0.25">
      <c r="A276" s="30"/>
      <c r="B276" s="30"/>
      <c r="C276" s="30"/>
      <c r="D276" s="30"/>
      <c r="E276" s="30"/>
      <c r="F276" s="30"/>
      <c r="G276" s="30"/>
      <c r="H276" s="30"/>
      <c r="I276" s="65">
        <f>J272+J273+J274</f>
        <v>57200.33</v>
      </c>
      <c r="J276" s="65"/>
      <c r="K276" s="31">
        <f>IF(Source!I199&lt;&gt;0, ROUND(I276/Source!I199, 2), 0)</f>
        <v>75511.990000000005</v>
      </c>
      <c r="P276" s="28">
        <f>I276</f>
        <v>57200.33</v>
      </c>
    </row>
    <row r="277" spans="1:22" ht="28.5" x14ac:dyDescent="0.2">
      <c r="A277" s="20" t="str">
        <f>Source!E200</f>
        <v>25</v>
      </c>
      <c r="B277" s="21" t="str">
        <f>Source!F200</f>
        <v>2.49-3202-4-1/1</v>
      </c>
      <c r="C277" s="21" t="str">
        <f>Source!G200</f>
        <v>Уплотнение грунта пневматическими трамбовками, группа грунтов 1, 2</v>
      </c>
      <c r="D277" s="22" t="str">
        <f>Source!DW200</f>
        <v>100 м3</v>
      </c>
      <c r="E277" s="9">
        <f>Source!I200</f>
        <v>0.75749999999999995</v>
      </c>
      <c r="F277" s="24"/>
      <c r="G277" s="23"/>
      <c r="H277" s="9"/>
      <c r="I277" s="9"/>
      <c r="J277" s="25"/>
      <c r="K277" s="25"/>
      <c r="Q277">
        <f>ROUND((Source!BZ200/100)*ROUND((Source!AF200*Source!AV200)*Source!I200, 2), 2)</f>
        <v>1331.37</v>
      </c>
      <c r="R277">
        <f>Source!X200</f>
        <v>1331.37</v>
      </c>
      <c r="S277">
        <f>ROUND((Source!CA200/100)*ROUND((Source!AF200*Source!AV200)*Source!I200, 2), 2)</f>
        <v>190.2</v>
      </c>
      <c r="T277">
        <f>Source!Y200</f>
        <v>190.2</v>
      </c>
      <c r="U277">
        <f>ROUND((175/100)*ROUND((Source!AE200*Source!AV200)*Source!I200, 2), 2)</f>
        <v>7404.39</v>
      </c>
      <c r="V277">
        <f>ROUND((108/100)*ROUND(Source!CS200*Source!I200, 2), 2)</f>
        <v>4569.57</v>
      </c>
    </row>
    <row r="278" spans="1:22" x14ac:dyDescent="0.2">
      <c r="C278" s="26" t="str">
        <f>"Объем: "&amp;Source!I200&amp;"=75,75/"&amp;"100"</f>
        <v>Объем: 0,7575=75,75/100</v>
      </c>
    </row>
    <row r="279" spans="1:22" ht="14.25" x14ac:dyDescent="0.2">
      <c r="A279" s="20"/>
      <c r="B279" s="21"/>
      <c r="C279" s="21" t="s">
        <v>685</v>
      </c>
      <c r="D279" s="22"/>
      <c r="E279" s="9"/>
      <c r="F279" s="24">
        <f>Source!AO200</f>
        <v>2510.83</v>
      </c>
      <c r="G279" s="23" t="str">
        <f>Source!DG200</f>
        <v/>
      </c>
      <c r="H279" s="9">
        <f>Source!AV200</f>
        <v>1</v>
      </c>
      <c r="I279" s="9">
        <f>IF(Source!BA200&lt;&gt; 0, Source!BA200, 1)</f>
        <v>1</v>
      </c>
      <c r="J279" s="25">
        <f>Source!S200</f>
        <v>1901.95</v>
      </c>
      <c r="K279" s="25"/>
    </row>
    <row r="280" spans="1:22" ht="14.25" x14ac:dyDescent="0.2">
      <c r="A280" s="20"/>
      <c r="B280" s="21"/>
      <c r="C280" s="21" t="s">
        <v>686</v>
      </c>
      <c r="D280" s="22"/>
      <c r="E280" s="9"/>
      <c r="F280" s="24">
        <f>Source!AM200</f>
        <v>9813.1</v>
      </c>
      <c r="G280" s="23" t="str">
        <f>Source!DE200</f>
        <v/>
      </c>
      <c r="H280" s="9">
        <f>Source!AV200</f>
        <v>1</v>
      </c>
      <c r="I280" s="9">
        <f>IF(Source!BB200&lt;&gt; 0, Source!BB200, 1)</f>
        <v>1</v>
      </c>
      <c r="J280" s="25">
        <f>Source!Q200</f>
        <v>7433.42</v>
      </c>
      <c r="K280" s="25"/>
    </row>
    <row r="281" spans="1:22" ht="14.25" x14ac:dyDescent="0.2">
      <c r="A281" s="20"/>
      <c r="B281" s="21"/>
      <c r="C281" s="21" t="s">
        <v>687</v>
      </c>
      <c r="D281" s="22"/>
      <c r="E281" s="9"/>
      <c r="F281" s="24">
        <f>Source!AN200</f>
        <v>5585.58</v>
      </c>
      <c r="G281" s="23" t="str">
        <f>Source!DF200</f>
        <v/>
      </c>
      <c r="H281" s="9">
        <f>Source!AV200</f>
        <v>1</v>
      </c>
      <c r="I281" s="9">
        <f>IF(Source!BS200&lt;&gt; 0, Source!BS200, 1)</f>
        <v>1</v>
      </c>
      <c r="J281" s="27">
        <f>Source!R200</f>
        <v>4231.08</v>
      </c>
      <c r="K281" s="25"/>
    </row>
    <row r="282" spans="1:22" ht="14.25" x14ac:dyDescent="0.2">
      <c r="A282" s="20"/>
      <c r="B282" s="21"/>
      <c r="C282" s="21" t="s">
        <v>688</v>
      </c>
      <c r="D282" s="22" t="s">
        <v>689</v>
      </c>
      <c r="E282" s="9">
        <f>Source!AT200</f>
        <v>70</v>
      </c>
      <c r="F282" s="24"/>
      <c r="G282" s="23"/>
      <c r="H282" s="9"/>
      <c r="I282" s="9"/>
      <c r="J282" s="25">
        <f>SUM(R277:R281)</f>
        <v>1331.37</v>
      </c>
      <c r="K282" s="25"/>
    </row>
    <row r="283" spans="1:22" ht="14.25" x14ac:dyDescent="0.2">
      <c r="A283" s="20"/>
      <c r="B283" s="21"/>
      <c r="C283" s="21" t="s">
        <v>690</v>
      </c>
      <c r="D283" s="22" t="s">
        <v>689</v>
      </c>
      <c r="E283" s="9">
        <f>Source!AU200</f>
        <v>10</v>
      </c>
      <c r="F283" s="24"/>
      <c r="G283" s="23"/>
      <c r="H283" s="9"/>
      <c r="I283" s="9"/>
      <c r="J283" s="25">
        <f>SUM(T277:T282)</f>
        <v>190.2</v>
      </c>
      <c r="K283" s="25"/>
    </row>
    <row r="284" spans="1:22" ht="14.25" x14ac:dyDescent="0.2">
      <c r="A284" s="20"/>
      <c r="B284" s="21"/>
      <c r="C284" s="21" t="s">
        <v>691</v>
      </c>
      <c r="D284" s="22" t="s">
        <v>689</v>
      </c>
      <c r="E284" s="9">
        <f>108</f>
        <v>108</v>
      </c>
      <c r="F284" s="24"/>
      <c r="G284" s="23"/>
      <c r="H284" s="9"/>
      <c r="I284" s="9"/>
      <c r="J284" s="25">
        <f>SUM(V277:V283)</f>
        <v>4569.57</v>
      </c>
      <c r="K284" s="25"/>
    </row>
    <row r="285" spans="1:22" ht="14.25" x14ac:dyDescent="0.2">
      <c r="A285" s="20"/>
      <c r="B285" s="21"/>
      <c r="C285" s="21" t="s">
        <v>692</v>
      </c>
      <c r="D285" s="22" t="s">
        <v>693</v>
      </c>
      <c r="E285" s="9">
        <f>Source!AQ200</f>
        <v>12.42</v>
      </c>
      <c r="F285" s="24"/>
      <c r="G285" s="23" t="str">
        <f>Source!DI200</f>
        <v/>
      </c>
      <c r="H285" s="9">
        <f>Source!AV200</f>
        <v>1</v>
      </c>
      <c r="I285" s="9"/>
      <c r="J285" s="25"/>
      <c r="K285" s="25">
        <f>Source!U200</f>
        <v>9.4081499999999991</v>
      </c>
    </row>
    <row r="286" spans="1:22" ht="15" x14ac:dyDescent="0.25">
      <c r="A286" s="30"/>
      <c r="B286" s="30"/>
      <c r="C286" s="30"/>
      <c r="D286" s="30"/>
      <c r="E286" s="30"/>
      <c r="F286" s="30"/>
      <c r="G286" s="30"/>
      <c r="H286" s="30"/>
      <c r="I286" s="65">
        <f>J279+J280+J282+J283+J284</f>
        <v>15426.510000000002</v>
      </c>
      <c r="J286" s="65"/>
      <c r="K286" s="31">
        <f>IF(Source!I200&lt;&gt;0, ROUND(I286/Source!I200, 2), 0)</f>
        <v>20365.03</v>
      </c>
      <c r="P286" s="28">
        <f>I286</f>
        <v>15426.510000000002</v>
      </c>
    </row>
    <row r="287" spans="1:22" ht="28.5" x14ac:dyDescent="0.2">
      <c r="A287" s="20" t="str">
        <f>Source!E201</f>
        <v>26</v>
      </c>
      <c r="B287" s="21" t="str">
        <f>Source!F201</f>
        <v>1.10-3103-1-1/1</v>
      </c>
      <c r="C287" s="21" t="str">
        <f>Source!G201</f>
        <v>Устройство уплотняемых трамбовками подстилающих слоев песчаных</v>
      </c>
      <c r="D287" s="22" t="str">
        <f>Source!DW201</f>
        <v>м3</v>
      </c>
      <c r="E287" s="9">
        <f>Source!I201</f>
        <v>60.6</v>
      </c>
      <c r="F287" s="24"/>
      <c r="G287" s="23"/>
      <c r="H287" s="9"/>
      <c r="I287" s="9"/>
      <c r="J287" s="25"/>
      <c r="K287" s="25"/>
      <c r="Q287">
        <f>ROUND((Source!BZ201/100)*ROUND((Source!AF201*Source!AV201)*Source!I201, 2), 2)</f>
        <v>30143.65</v>
      </c>
      <c r="R287">
        <f>Source!X201</f>
        <v>30143.65</v>
      </c>
      <c r="S287">
        <f>ROUND((Source!CA201/100)*ROUND((Source!AF201*Source!AV201)*Source!I201, 2), 2)</f>
        <v>4306.24</v>
      </c>
      <c r="T287">
        <f>Source!Y201</f>
        <v>4306.24</v>
      </c>
      <c r="U287">
        <f>ROUND((175/100)*ROUND((Source!AE201*Source!AV201)*Source!I201, 2), 2)</f>
        <v>17156.77</v>
      </c>
      <c r="V287">
        <f>ROUND((108/100)*ROUND(Source!CS201*Source!I201, 2), 2)</f>
        <v>10588.18</v>
      </c>
    </row>
    <row r="288" spans="1:22" ht="14.25" x14ac:dyDescent="0.2">
      <c r="A288" s="20"/>
      <c r="B288" s="21"/>
      <c r="C288" s="21" t="s">
        <v>685</v>
      </c>
      <c r="D288" s="22"/>
      <c r="E288" s="9"/>
      <c r="F288" s="24">
        <f>Source!AO201</f>
        <v>710.6</v>
      </c>
      <c r="G288" s="23" t="str">
        <f>Source!DG201</f>
        <v/>
      </c>
      <c r="H288" s="9">
        <f>Source!AV201</f>
        <v>1</v>
      </c>
      <c r="I288" s="9">
        <f>IF(Source!BA201&lt;&gt; 0, Source!BA201, 1)</f>
        <v>1</v>
      </c>
      <c r="J288" s="25">
        <f>Source!S201</f>
        <v>43062.36</v>
      </c>
      <c r="K288" s="25"/>
    </row>
    <row r="289" spans="1:22" ht="14.25" x14ac:dyDescent="0.2">
      <c r="A289" s="20"/>
      <c r="B289" s="21"/>
      <c r="C289" s="21" t="s">
        <v>686</v>
      </c>
      <c r="D289" s="22"/>
      <c r="E289" s="9"/>
      <c r="F289" s="24">
        <f>Source!AM201</f>
        <v>284.22000000000003</v>
      </c>
      <c r="G289" s="23" t="str">
        <f>Source!DE201</f>
        <v/>
      </c>
      <c r="H289" s="9">
        <f>Source!AV201</f>
        <v>1</v>
      </c>
      <c r="I289" s="9">
        <f>IF(Source!BB201&lt;&gt; 0, Source!BB201, 1)</f>
        <v>1</v>
      </c>
      <c r="J289" s="25">
        <f>Source!Q201</f>
        <v>17223.73</v>
      </c>
      <c r="K289" s="25"/>
    </row>
    <row r="290" spans="1:22" ht="14.25" x14ac:dyDescent="0.2">
      <c r="A290" s="20"/>
      <c r="B290" s="21"/>
      <c r="C290" s="21" t="s">
        <v>687</v>
      </c>
      <c r="D290" s="22"/>
      <c r="E290" s="9"/>
      <c r="F290" s="24">
        <f>Source!AN201</f>
        <v>161.78</v>
      </c>
      <c r="G290" s="23" t="str">
        <f>Source!DF201</f>
        <v/>
      </c>
      <c r="H290" s="9">
        <f>Source!AV201</f>
        <v>1</v>
      </c>
      <c r="I290" s="9">
        <f>IF(Source!BS201&lt;&gt; 0, Source!BS201, 1)</f>
        <v>1</v>
      </c>
      <c r="J290" s="27">
        <f>Source!R201</f>
        <v>9803.8700000000008</v>
      </c>
      <c r="K290" s="25"/>
    </row>
    <row r="291" spans="1:22" ht="14.25" x14ac:dyDescent="0.2">
      <c r="A291" s="20"/>
      <c r="B291" s="21"/>
      <c r="C291" s="21" t="s">
        <v>694</v>
      </c>
      <c r="D291" s="22"/>
      <c r="E291" s="9"/>
      <c r="F291" s="24">
        <f>Source!AL201</f>
        <v>661.67</v>
      </c>
      <c r="G291" s="23" t="str">
        <f>Source!DD201</f>
        <v/>
      </c>
      <c r="H291" s="9">
        <f>Source!AW201</f>
        <v>1</v>
      </c>
      <c r="I291" s="9">
        <f>IF(Source!BC201&lt;&gt; 0, Source!BC201, 1)</f>
        <v>1</v>
      </c>
      <c r="J291" s="25">
        <f>Source!P201</f>
        <v>40097.199999999997</v>
      </c>
      <c r="K291" s="25"/>
    </row>
    <row r="292" spans="1:22" ht="14.25" x14ac:dyDescent="0.2">
      <c r="A292" s="20"/>
      <c r="B292" s="21"/>
      <c r="C292" s="21" t="s">
        <v>688</v>
      </c>
      <c r="D292" s="22" t="s">
        <v>689</v>
      </c>
      <c r="E292" s="9">
        <f>Source!AT201</f>
        <v>70</v>
      </c>
      <c r="F292" s="24"/>
      <c r="G292" s="23"/>
      <c r="H292" s="9"/>
      <c r="I292" s="9"/>
      <c r="J292" s="25">
        <f>SUM(R287:R291)</f>
        <v>30143.65</v>
      </c>
      <c r="K292" s="25"/>
    </row>
    <row r="293" spans="1:22" ht="14.25" x14ac:dyDescent="0.2">
      <c r="A293" s="20"/>
      <c r="B293" s="21"/>
      <c r="C293" s="21" t="s">
        <v>690</v>
      </c>
      <c r="D293" s="22" t="s">
        <v>689</v>
      </c>
      <c r="E293" s="9">
        <f>Source!AU201</f>
        <v>10</v>
      </c>
      <c r="F293" s="24"/>
      <c r="G293" s="23"/>
      <c r="H293" s="9"/>
      <c r="I293" s="9"/>
      <c r="J293" s="25">
        <f>SUM(T287:T292)</f>
        <v>4306.24</v>
      </c>
      <c r="K293" s="25"/>
    </row>
    <row r="294" spans="1:22" ht="14.25" x14ac:dyDescent="0.2">
      <c r="A294" s="20"/>
      <c r="B294" s="21"/>
      <c r="C294" s="21" t="s">
        <v>691</v>
      </c>
      <c r="D294" s="22" t="s">
        <v>689</v>
      </c>
      <c r="E294" s="9">
        <f>108</f>
        <v>108</v>
      </c>
      <c r="F294" s="24"/>
      <c r="G294" s="23"/>
      <c r="H294" s="9"/>
      <c r="I294" s="9"/>
      <c r="J294" s="25">
        <f>SUM(V287:V293)</f>
        <v>10588.18</v>
      </c>
      <c r="K294" s="25"/>
    </row>
    <row r="295" spans="1:22" ht="14.25" x14ac:dyDescent="0.2">
      <c r="A295" s="20"/>
      <c r="B295" s="21"/>
      <c r="C295" s="21" t="s">
        <v>692</v>
      </c>
      <c r="D295" s="22" t="s">
        <v>693</v>
      </c>
      <c r="E295" s="9">
        <f>Source!AQ201</f>
        <v>3.44</v>
      </c>
      <c r="F295" s="24"/>
      <c r="G295" s="23" t="str">
        <f>Source!DI201</f>
        <v/>
      </c>
      <c r="H295" s="9">
        <f>Source!AV201</f>
        <v>1</v>
      </c>
      <c r="I295" s="9"/>
      <c r="J295" s="25"/>
      <c r="K295" s="25">
        <f>Source!U201</f>
        <v>208.464</v>
      </c>
    </row>
    <row r="296" spans="1:22" ht="15" x14ac:dyDescent="0.25">
      <c r="A296" s="30"/>
      <c r="B296" s="30"/>
      <c r="C296" s="30"/>
      <c r="D296" s="30"/>
      <c r="E296" s="30"/>
      <c r="F296" s="30"/>
      <c r="G296" s="30"/>
      <c r="H296" s="30"/>
      <c r="I296" s="65">
        <f>J288+J289+J291+J292+J293+J294</f>
        <v>145421.35999999999</v>
      </c>
      <c r="J296" s="65"/>
      <c r="K296" s="31">
        <f>IF(Source!I201&lt;&gt;0, ROUND(I296/Source!I201, 2), 0)</f>
        <v>2399.69</v>
      </c>
      <c r="P296" s="28">
        <f>I296</f>
        <v>145421.35999999999</v>
      </c>
    </row>
    <row r="297" spans="1:22" ht="28.5" x14ac:dyDescent="0.2">
      <c r="A297" s="20" t="str">
        <f>Source!E202</f>
        <v>27</v>
      </c>
      <c r="B297" s="21" t="str">
        <f>Source!F202</f>
        <v>5.3-5202-5-1/1</v>
      </c>
      <c r="C297" s="21" t="str">
        <f>Source!G202</f>
        <v>Устройство бетонного поребрика на бетонном основании</v>
      </c>
      <c r="D297" s="22" t="str">
        <f>Source!DW202</f>
        <v>м</v>
      </c>
      <c r="E297" s="9">
        <f>Source!I202</f>
        <v>163</v>
      </c>
      <c r="F297" s="24"/>
      <c r="G297" s="23"/>
      <c r="H297" s="9"/>
      <c r="I297" s="9"/>
      <c r="J297" s="25"/>
      <c r="K297" s="25"/>
      <c r="Q297">
        <f>ROUND((Source!BZ202/100)*ROUND((Source!AF202*Source!AV202)*Source!I202, 2), 2)</f>
        <v>32801.47</v>
      </c>
      <c r="R297">
        <f>Source!X202</f>
        <v>32801.47</v>
      </c>
      <c r="S297">
        <f>ROUND((Source!CA202/100)*ROUND((Source!AF202*Source!AV202)*Source!I202, 2), 2)</f>
        <v>4685.92</v>
      </c>
      <c r="T297">
        <f>Source!Y202</f>
        <v>4685.92</v>
      </c>
      <c r="U297">
        <f>ROUND((175/100)*ROUND((Source!AE202*Source!AV202)*Source!I202, 2), 2)</f>
        <v>0</v>
      </c>
      <c r="V297">
        <f>ROUND((108/100)*ROUND(Source!CS202*Source!I202, 2), 2)</f>
        <v>0</v>
      </c>
    </row>
    <row r="298" spans="1:22" ht="14.25" x14ac:dyDescent="0.2">
      <c r="A298" s="20"/>
      <c r="B298" s="21"/>
      <c r="C298" s="21" t="s">
        <v>685</v>
      </c>
      <c r="D298" s="22"/>
      <c r="E298" s="9"/>
      <c r="F298" s="24">
        <f>Source!AO202</f>
        <v>287.48</v>
      </c>
      <c r="G298" s="23" t="str">
        <f>Source!DG202</f>
        <v/>
      </c>
      <c r="H298" s="9">
        <f>Source!AV202</f>
        <v>1</v>
      </c>
      <c r="I298" s="9">
        <f>IF(Source!BA202&lt;&gt; 0, Source!BA202, 1)</f>
        <v>1</v>
      </c>
      <c r="J298" s="25">
        <f>Source!S202</f>
        <v>46859.24</v>
      </c>
      <c r="K298" s="25"/>
    </row>
    <row r="299" spans="1:22" ht="14.25" x14ac:dyDescent="0.2">
      <c r="A299" s="20"/>
      <c r="B299" s="21"/>
      <c r="C299" s="21" t="s">
        <v>694</v>
      </c>
      <c r="D299" s="22"/>
      <c r="E299" s="9"/>
      <c r="F299" s="24">
        <f>Source!AL202</f>
        <v>300.83</v>
      </c>
      <c r="G299" s="23" t="str">
        <f>Source!DD202</f>
        <v/>
      </c>
      <c r="H299" s="9">
        <f>Source!AW202</f>
        <v>1</v>
      </c>
      <c r="I299" s="9">
        <f>IF(Source!BC202&lt;&gt; 0, Source!BC202, 1)</f>
        <v>1</v>
      </c>
      <c r="J299" s="25">
        <f>Source!P202</f>
        <v>49035.29</v>
      </c>
      <c r="K299" s="25"/>
    </row>
    <row r="300" spans="1:22" ht="28.5" x14ac:dyDescent="0.2">
      <c r="A300" s="20" t="str">
        <f>Source!E203</f>
        <v>27,1</v>
      </c>
      <c r="B300" s="21" t="str">
        <f>Source!F203</f>
        <v>21.5-3-12</v>
      </c>
      <c r="C300" s="21" t="str">
        <f>Source!G203</f>
        <v>Камни бетонные бортовые, марка БР60.20.8</v>
      </c>
      <c r="D300" s="22" t="str">
        <f>Source!DW203</f>
        <v>м3</v>
      </c>
      <c r="E300" s="9">
        <f>Source!I203</f>
        <v>1.6300000000000001</v>
      </c>
      <c r="F300" s="24">
        <f>Source!AK203</f>
        <v>9014.9</v>
      </c>
      <c r="G300" s="34" t="s">
        <v>3</v>
      </c>
      <c r="H300" s="9">
        <f>Source!AW203</f>
        <v>1</v>
      </c>
      <c r="I300" s="9">
        <f>IF(Source!BC203&lt;&gt; 0, Source!BC203, 1)</f>
        <v>1</v>
      </c>
      <c r="J300" s="25">
        <f>Source!O203</f>
        <v>14694.29</v>
      </c>
      <c r="K300" s="25"/>
      <c r="Q300">
        <f>ROUND((Source!BZ203/100)*ROUND((Source!AF203*Source!AV203)*Source!I203, 2), 2)</f>
        <v>0</v>
      </c>
      <c r="R300">
        <f>Source!X203</f>
        <v>0</v>
      </c>
      <c r="S300">
        <f>ROUND((Source!CA203/100)*ROUND((Source!AF203*Source!AV203)*Source!I203, 2), 2)</f>
        <v>0</v>
      </c>
      <c r="T300">
        <f>Source!Y203</f>
        <v>0</v>
      </c>
      <c r="U300">
        <f>ROUND((175/100)*ROUND((Source!AE203*Source!AV203)*Source!I203, 2), 2)</f>
        <v>0</v>
      </c>
      <c r="V300">
        <f>ROUND((108/100)*ROUND(Source!CS203*Source!I203, 2), 2)</f>
        <v>0</v>
      </c>
    </row>
    <row r="301" spans="1:22" ht="14.25" x14ac:dyDescent="0.2">
      <c r="A301" s="20"/>
      <c r="B301" s="21"/>
      <c r="C301" s="21" t="s">
        <v>688</v>
      </c>
      <c r="D301" s="22" t="s">
        <v>689</v>
      </c>
      <c r="E301" s="9">
        <f>Source!AT202</f>
        <v>70</v>
      </c>
      <c r="F301" s="24"/>
      <c r="G301" s="23"/>
      <c r="H301" s="9"/>
      <c r="I301" s="9"/>
      <c r="J301" s="25">
        <f>SUM(R297:R300)</f>
        <v>32801.47</v>
      </c>
      <c r="K301" s="25"/>
    </row>
    <row r="302" spans="1:22" ht="14.25" x14ac:dyDescent="0.2">
      <c r="A302" s="20"/>
      <c r="B302" s="21"/>
      <c r="C302" s="21" t="s">
        <v>690</v>
      </c>
      <c r="D302" s="22" t="s">
        <v>689</v>
      </c>
      <c r="E302" s="9">
        <f>Source!AU202</f>
        <v>10</v>
      </c>
      <c r="F302" s="24"/>
      <c r="G302" s="23"/>
      <c r="H302" s="9"/>
      <c r="I302" s="9"/>
      <c r="J302" s="25">
        <f>SUM(T297:T301)</f>
        <v>4685.92</v>
      </c>
      <c r="K302" s="25"/>
    </row>
    <row r="303" spans="1:22" ht="14.25" x14ac:dyDescent="0.2">
      <c r="A303" s="20"/>
      <c r="B303" s="21"/>
      <c r="C303" s="21" t="s">
        <v>692</v>
      </c>
      <c r="D303" s="22" t="s">
        <v>693</v>
      </c>
      <c r="E303" s="9">
        <f>Source!AQ202</f>
        <v>1.1499999999999999</v>
      </c>
      <c r="F303" s="24"/>
      <c r="G303" s="23" t="str">
        <f>Source!DI202</f>
        <v/>
      </c>
      <c r="H303" s="9">
        <f>Source!AV202</f>
        <v>1</v>
      </c>
      <c r="I303" s="9"/>
      <c r="J303" s="25"/>
      <c r="K303" s="25">
        <f>Source!U202</f>
        <v>187.45</v>
      </c>
    </row>
    <row r="304" spans="1:22" ht="15" x14ac:dyDescent="0.25">
      <c r="A304" s="30"/>
      <c r="B304" s="30"/>
      <c r="C304" s="30"/>
      <c r="D304" s="30"/>
      <c r="E304" s="30"/>
      <c r="F304" s="30"/>
      <c r="G304" s="30"/>
      <c r="H304" s="30"/>
      <c r="I304" s="65">
        <f>J298+J299+J301+J302+SUM(J300:J300)</f>
        <v>148076.21000000002</v>
      </c>
      <c r="J304" s="65"/>
      <c r="K304" s="31">
        <f>IF(Source!I202&lt;&gt;0, ROUND(I304/Source!I202, 2), 0)</f>
        <v>908.44</v>
      </c>
      <c r="P304" s="28">
        <f>I304</f>
        <v>148076.21000000002</v>
      </c>
    </row>
    <row r="305" spans="1:22" ht="28.5" x14ac:dyDescent="0.2">
      <c r="A305" s="20" t="str">
        <f>Source!E204</f>
        <v>28</v>
      </c>
      <c r="B305" s="21" t="str">
        <f>Source!F204</f>
        <v>1.10-3103-1-3/1</v>
      </c>
      <c r="C305" s="21" t="str">
        <f>Source!G204</f>
        <v>Устройство уплотняемых трамбовками подстилающих слоев щебеночных</v>
      </c>
      <c r="D305" s="22" t="str">
        <f>Source!DW204</f>
        <v>м3</v>
      </c>
      <c r="E305" s="9">
        <f>Source!I204</f>
        <v>45.45</v>
      </c>
      <c r="F305" s="24"/>
      <c r="G305" s="23"/>
      <c r="H305" s="9"/>
      <c r="I305" s="9"/>
      <c r="J305" s="25"/>
      <c r="K305" s="25"/>
      <c r="Q305">
        <f>ROUND((Source!BZ204/100)*ROUND((Source!AF204*Source!AV204)*Source!I204, 2), 2)</f>
        <v>25561.45</v>
      </c>
      <c r="R305">
        <f>Source!X204</f>
        <v>25561.45</v>
      </c>
      <c r="S305">
        <f>ROUND((Source!CA204/100)*ROUND((Source!AF204*Source!AV204)*Source!I204, 2), 2)</f>
        <v>3651.64</v>
      </c>
      <c r="T305">
        <f>Source!Y204</f>
        <v>3651.64</v>
      </c>
      <c r="U305">
        <f>ROUND((175/100)*ROUND((Source!AE204*Source!AV204)*Source!I204, 2), 2)</f>
        <v>50453.81</v>
      </c>
      <c r="V305">
        <f>ROUND((108/100)*ROUND(Source!CS204*Source!I204, 2), 2)</f>
        <v>31137.21</v>
      </c>
    </row>
    <row r="306" spans="1:22" ht="14.25" x14ac:dyDescent="0.2">
      <c r="A306" s="20"/>
      <c r="B306" s="21"/>
      <c r="C306" s="21" t="s">
        <v>685</v>
      </c>
      <c r="D306" s="22"/>
      <c r="E306" s="9"/>
      <c r="F306" s="24">
        <f>Source!AO204</f>
        <v>803.44</v>
      </c>
      <c r="G306" s="23" t="str">
        <f>Source!DG204</f>
        <v/>
      </c>
      <c r="H306" s="9">
        <f>Source!AV204</f>
        <v>1</v>
      </c>
      <c r="I306" s="9">
        <f>IF(Source!BA204&lt;&gt; 0, Source!BA204, 1)</f>
        <v>1</v>
      </c>
      <c r="J306" s="25">
        <f>Source!S204</f>
        <v>36516.35</v>
      </c>
      <c r="K306" s="25"/>
    </row>
    <row r="307" spans="1:22" ht="14.25" x14ac:dyDescent="0.2">
      <c r="A307" s="20"/>
      <c r="B307" s="21"/>
      <c r="C307" s="21" t="s">
        <v>686</v>
      </c>
      <c r="D307" s="22"/>
      <c r="E307" s="9"/>
      <c r="F307" s="24">
        <f>Source!AM204</f>
        <v>1114.45</v>
      </c>
      <c r="G307" s="23" t="str">
        <f>Source!DE204</f>
        <v/>
      </c>
      <c r="H307" s="9">
        <f>Source!AV204</f>
        <v>1</v>
      </c>
      <c r="I307" s="9">
        <f>IF(Source!BB204&lt;&gt; 0, Source!BB204, 1)</f>
        <v>1</v>
      </c>
      <c r="J307" s="25">
        <f>Source!Q204</f>
        <v>50651.75</v>
      </c>
      <c r="K307" s="25"/>
    </row>
    <row r="308" spans="1:22" ht="14.25" x14ac:dyDescent="0.2">
      <c r="A308" s="20"/>
      <c r="B308" s="21"/>
      <c r="C308" s="21" t="s">
        <v>687</v>
      </c>
      <c r="D308" s="22"/>
      <c r="E308" s="9"/>
      <c r="F308" s="24">
        <f>Source!AN204</f>
        <v>634.34</v>
      </c>
      <c r="G308" s="23" t="str">
        <f>Source!DF204</f>
        <v/>
      </c>
      <c r="H308" s="9">
        <f>Source!AV204</f>
        <v>1</v>
      </c>
      <c r="I308" s="9">
        <f>IF(Source!BS204&lt;&gt; 0, Source!BS204, 1)</f>
        <v>1</v>
      </c>
      <c r="J308" s="27">
        <f>Source!R204</f>
        <v>28830.75</v>
      </c>
      <c r="K308" s="25"/>
    </row>
    <row r="309" spans="1:22" ht="14.25" x14ac:dyDescent="0.2">
      <c r="A309" s="20"/>
      <c r="B309" s="21"/>
      <c r="C309" s="21" t="s">
        <v>694</v>
      </c>
      <c r="D309" s="22"/>
      <c r="E309" s="9"/>
      <c r="F309" s="24">
        <f>Source!AL204</f>
        <v>1628.86</v>
      </c>
      <c r="G309" s="23" t="str">
        <f>Source!DD204</f>
        <v/>
      </c>
      <c r="H309" s="9">
        <f>Source!AW204</f>
        <v>1</v>
      </c>
      <c r="I309" s="9">
        <f>IF(Source!BC204&lt;&gt; 0, Source!BC204, 1)</f>
        <v>1</v>
      </c>
      <c r="J309" s="25">
        <f>Source!P204</f>
        <v>74031.69</v>
      </c>
      <c r="K309" s="25"/>
    </row>
    <row r="310" spans="1:22" ht="14.25" x14ac:dyDescent="0.2">
      <c r="A310" s="20"/>
      <c r="B310" s="21"/>
      <c r="C310" s="21" t="s">
        <v>688</v>
      </c>
      <c r="D310" s="22" t="s">
        <v>689</v>
      </c>
      <c r="E310" s="9">
        <f>Source!AT204</f>
        <v>70</v>
      </c>
      <c r="F310" s="24"/>
      <c r="G310" s="23"/>
      <c r="H310" s="9"/>
      <c r="I310" s="9"/>
      <c r="J310" s="25">
        <f>SUM(R305:R309)</f>
        <v>25561.45</v>
      </c>
      <c r="K310" s="25"/>
    </row>
    <row r="311" spans="1:22" ht="14.25" x14ac:dyDescent="0.2">
      <c r="A311" s="20"/>
      <c r="B311" s="21"/>
      <c r="C311" s="21" t="s">
        <v>690</v>
      </c>
      <c r="D311" s="22" t="s">
        <v>689</v>
      </c>
      <c r="E311" s="9">
        <f>Source!AU204</f>
        <v>10</v>
      </c>
      <c r="F311" s="24"/>
      <c r="G311" s="23"/>
      <c r="H311" s="9"/>
      <c r="I311" s="9"/>
      <c r="J311" s="25">
        <f>SUM(T305:T310)</f>
        <v>3651.64</v>
      </c>
      <c r="K311" s="25"/>
    </row>
    <row r="312" spans="1:22" ht="14.25" x14ac:dyDescent="0.2">
      <c r="A312" s="20"/>
      <c r="B312" s="21"/>
      <c r="C312" s="21" t="s">
        <v>691</v>
      </c>
      <c r="D312" s="22" t="s">
        <v>689</v>
      </c>
      <c r="E312" s="9">
        <f>108</f>
        <v>108</v>
      </c>
      <c r="F312" s="24"/>
      <c r="G312" s="23"/>
      <c r="H312" s="9"/>
      <c r="I312" s="9"/>
      <c r="J312" s="25">
        <f>SUM(V305:V311)</f>
        <v>31137.21</v>
      </c>
      <c r="K312" s="25"/>
    </row>
    <row r="313" spans="1:22" ht="14.25" x14ac:dyDescent="0.2">
      <c r="A313" s="20"/>
      <c r="B313" s="21"/>
      <c r="C313" s="21" t="s">
        <v>692</v>
      </c>
      <c r="D313" s="22" t="s">
        <v>693</v>
      </c>
      <c r="E313" s="9">
        <f>Source!AQ204</f>
        <v>3.73</v>
      </c>
      <c r="F313" s="24"/>
      <c r="G313" s="23" t="str">
        <f>Source!DI204</f>
        <v/>
      </c>
      <c r="H313" s="9">
        <f>Source!AV204</f>
        <v>1</v>
      </c>
      <c r="I313" s="9"/>
      <c r="J313" s="25"/>
      <c r="K313" s="25">
        <f>Source!U204</f>
        <v>169.52850000000001</v>
      </c>
    </row>
    <row r="314" spans="1:22" ht="15" x14ac:dyDescent="0.25">
      <c r="A314" s="30"/>
      <c r="B314" s="30"/>
      <c r="C314" s="30"/>
      <c r="D314" s="30"/>
      <c r="E314" s="30"/>
      <c r="F314" s="30"/>
      <c r="G314" s="30"/>
      <c r="H314" s="30"/>
      <c r="I314" s="65">
        <f>J306+J307+J309+J310+J311+J312</f>
        <v>221550.09000000003</v>
      </c>
      <c r="J314" s="65"/>
      <c r="K314" s="31">
        <f>IF(Source!I204&lt;&gt;0, ROUND(I314/Source!I204, 2), 0)</f>
        <v>4874.59</v>
      </c>
      <c r="P314" s="28">
        <f>I314</f>
        <v>221550.09000000003</v>
      </c>
    </row>
    <row r="315" spans="1:22" ht="57" x14ac:dyDescent="0.2">
      <c r="A315" s="20" t="str">
        <f>Source!E205</f>
        <v>29</v>
      </c>
      <c r="B315" s="21" t="str">
        <f>Source!F205</f>
        <v>1.10-3303-2-3/1</v>
      </c>
      <c r="C315" s="21" t="str">
        <f>Source!G205</f>
        <v>Устройство покрытий из асфальтобетонных горячих мелкозернистых смесей, марка II, тип В,  толщиной 25 мм</v>
      </c>
      <c r="D315" s="22" t="str">
        <f>Source!DW205</f>
        <v>100 м2</v>
      </c>
      <c r="E315" s="9">
        <f>Source!I205</f>
        <v>3.03</v>
      </c>
      <c r="F315" s="24"/>
      <c r="G315" s="23"/>
      <c r="H315" s="9"/>
      <c r="I315" s="9"/>
      <c r="J315" s="25"/>
      <c r="K315" s="25"/>
      <c r="Q315">
        <f>ROUND((Source!BZ205/100)*ROUND((Source!AF205*Source!AV205)*Source!I205, 2), 2)</f>
        <v>6899.93</v>
      </c>
      <c r="R315">
        <f>Source!X205</f>
        <v>6899.93</v>
      </c>
      <c r="S315">
        <f>ROUND((Source!CA205/100)*ROUND((Source!AF205*Source!AV205)*Source!I205, 2), 2)</f>
        <v>985.7</v>
      </c>
      <c r="T315">
        <f>Source!Y205</f>
        <v>985.7</v>
      </c>
      <c r="U315">
        <f>ROUND((175/100)*ROUND((Source!AE205*Source!AV205)*Source!I205, 2), 2)</f>
        <v>6405.58</v>
      </c>
      <c r="V315">
        <f>ROUND((108/100)*ROUND(Source!CS205*Source!I205, 2), 2)</f>
        <v>3953.16</v>
      </c>
    </row>
    <row r="316" spans="1:22" x14ac:dyDescent="0.2">
      <c r="C316" s="26" t="str">
        <f>"Объем: "&amp;Source!I205&amp;"=303/"&amp;"100"</f>
        <v>Объем: 3,03=303/100</v>
      </c>
    </row>
    <row r="317" spans="1:22" ht="14.25" x14ac:dyDescent="0.2">
      <c r="A317" s="20"/>
      <c r="B317" s="21"/>
      <c r="C317" s="21" t="s">
        <v>685</v>
      </c>
      <c r="D317" s="22"/>
      <c r="E317" s="9"/>
      <c r="F317" s="24">
        <f>Source!AO205</f>
        <v>3253.15</v>
      </c>
      <c r="G317" s="23" t="str">
        <f>Source!DG205</f>
        <v/>
      </c>
      <c r="H317" s="9">
        <f>Source!AV205</f>
        <v>1</v>
      </c>
      <c r="I317" s="9">
        <f>IF(Source!BA205&lt;&gt; 0, Source!BA205, 1)</f>
        <v>1</v>
      </c>
      <c r="J317" s="25">
        <f>Source!S205</f>
        <v>9857.0400000000009</v>
      </c>
      <c r="K317" s="25"/>
    </row>
    <row r="318" spans="1:22" ht="14.25" x14ac:dyDescent="0.2">
      <c r="A318" s="20"/>
      <c r="B318" s="21"/>
      <c r="C318" s="21" t="s">
        <v>686</v>
      </c>
      <c r="D318" s="22"/>
      <c r="E318" s="9"/>
      <c r="F318" s="24">
        <f>Source!AM205</f>
        <v>2014.79</v>
      </c>
      <c r="G318" s="23" t="str">
        <f>Source!DE205</f>
        <v/>
      </c>
      <c r="H318" s="9">
        <f>Source!AV205</f>
        <v>1</v>
      </c>
      <c r="I318" s="9">
        <f>IF(Source!BB205&lt;&gt; 0, Source!BB205, 1)</f>
        <v>1</v>
      </c>
      <c r="J318" s="25">
        <f>Source!Q205</f>
        <v>6104.81</v>
      </c>
      <c r="K318" s="25"/>
    </row>
    <row r="319" spans="1:22" ht="14.25" x14ac:dyDescent="0.2">
      <c r="A319" s="20"/>
      <c r="B319" s="21"/>
      <c r="C319" s="21" t="s">
        <v>687</v>
      </c>
      <c r="D319" s="22"/>
      <c r="E319" s="9"/>
      <c r="F319" s="24">
        <f>Source!AN205</f>
        <v>1208.03</v>
      </c>
      <c r="G319" s="23" t="str">
        <f>Source!DF205</f>
        <v/>
      </c>
      <c r="H319" s="9">
        <f>Source!AV205</f>
        <v>1</v>
      </c>
      <c r="I319" s="9">
        <f>IF(Source!BS205&lt;&gt; 0, Source!BS205, 1)</f>
        <v>1</v>
      </c>
      <c r="J319" s="27">
        <f>Source!R205</f>
        <v>3660.33</v>
      </c>
      <c r="K319" s="25"/>
    </row>
    <row r="320" spans="1:22" ht="14.25" x14ac:dyDescent="0.2">
      <c r="A320" s="20"/>
      <c r="B320" s="21"/>
      <c r="C320" s="21" t="s">
        <v>694</v>
      </c>
      <c r="D320" s="22"/>
      <c r="E320" s="9"/>
      <c r="F320" s="24">
        <f>Source!AL205</f>
        <v>17411.05</v>
      </c>
      <c r="G320" s="23" t="str">
        <f>Source!DD205</f>
        <v/>
      </c>
      <c r="H320" s="9">
        <f>Source!AW205</f>
        <v>1</v>
      </c>
      <c r="I320" s="9">
        <f>IF(Source!BC205&lt;&gt; 0, Source!BC205, 1)</f>
        <v>1</v>
      </c>
      <c r="J320" s="25">
        <f>Source!P205</f>
        <v>52755.48</v>
      </c>
      <c r="K320" s="25"/>
    </row>
    <row r="321" spans="1:22" ht="14.25" x14ac:dyDescent="0.2">
      <c r="A321" s="20"/>
      <c r="B321" s="21"/>
      <c r="C321" s="21" t="s">
        <v>688</v>
      </c>
      <c r="D321" s="22" t="s">
        <v>689</v>
      </c>
      <c r="E321" s="9">
        <f>Source!AT205</f>
        <v>70</v>
      </c>
      <c r="F321" s="24"/>
      <c r="G321" s="23"/>
      <c r="H321" s="9"/>
      <c r="I321" s="9"/>
      <c r="J321" s="25">
        <f>SUM(R315:R320)</f>
        <v>6899.93</v>
      </c>
      <c r="K321" s="25"/>
    </row>
    <row r="322" spans="1:22" ht="14.25" x14ac:dyDescent="0.2">
      <c r="A322" s="20"/>
      <c r="B322" s="21"/>
      <c r="C322" s="21" t="s">
        <v>690</v>
      </c>
      <c r="D322" s="22" t="s">
        <v>689</v>
      </c>
      <c r="E322" s="9">
        <f>Source!AU205</f>
        <v>10</v>
      </c>
      <c r="F322" s="24"/>
      <c r="G322" s="23"/>
      <c r="H322" s="9"/>
      <c r="I322" s="9"/>
      <c r="J322" s="25">
        <f>SUM(T315:T321)</f>
        <v>985.7</v>
      </c>
      <c r="K322" s="25"/>
    </row>
    <row r="323" spans="1:22" ht="14.25" x14ac:dyDescent="0.2">
      <c r="A323" s="20"/>
      <c r="B323" s="21"/>
      <c r="C323" s="21" t="s">
        <v>691</v>
      </c>
      <c r="D323" s="22" t="s">
        <v>689</v>
      </c>
      <c r="E323" s="9">
        <f>108</f>
        <v>108</v>
      </c>
      <c r="F323" s="24"/>
      <c r="G323" s="23"/>
      <c r="H323" s="9"/>
      <c r="I323" s="9"/>
      <c r="J323" s="25">
        <f>SUM(V315:V322)</f>
        <v>3953.16</v>
      </c>
      <c r="K323" s="25"/>
    </row>
    <row r="324" spans="1:22" ht="14.25" x14ac:dyDescent="0.2">
      <c r="A324" s="20"/>
      <c r="B324" s="21"/>
      <c r="C324" s="21" t="s">
        <v>692</v>
      </c>
      <c r="D324" s="22" t="s">
        <v>693</v>
      </c>
      <c r="E324" s="9">
        <f>Source!AQ205</f>
        <v>16.440000000000001</v>
      </c>
      <c r="F324" s="24"/>
      <c r="G324" s="23" t="str">
        <f>Source!DI205</f>
        <v/>
      </c>
      <c r="H324" s="9">
        <f>Source!AV205</f>
        <v>1</v>
      </c>
      <c r="I324" s="9"/>
      <c r="J324" s="25"/>
      <c r="K324" s="25">
        <f>Source!U205</f>
        <v>49.813200000000002</v>
      </c>
    </row>
    <row r="325" spans="1:22" ht="15" x14ac:dyDescent="0.25">
      <c r="A325" s="30"/>
      <c r="B325" s="30"/>
      <c r="C325" s="30"/>
      <c r="D325" s="30"/>
      <c r="E325" s="30"/>
      <c r="F325" s="30"/>
      <c r="G325" s="30"/>
      <c r="H325" s="30"/>
      <c r="I325" s="65">
        <f>J317+J318+J320+J321+J322+J323</f>
        <v>80556.12000000001</v>
      </c>
      <c r="J325" s="65"/>
      <c r="K325" s="31">
        <f>IF(Source!I205&lt;&gt;0, ROUND(I325/Source!I205, 2), 0)</f>
        <v>26586.18</v>
      </c>
      <c r="P325" s="28">
        <f>I325</f>
        <v>80556.12000000001</v>
      </c>
    </row>
    <row r="326" spans="1:22" ht="28.5" x14ac:dyDescent="0.2">
      <c r="A326" s="20" t="str">
        <f>Source!E206</f>
        <v>30</v>
      </c>
      <c r="B326" s="21" t="str">
        <f>Source!F206</f>
        <v>1.10-3303-2-4/1</v>
      </c>
      <c r="C326" s="21" t="str">
        <f>Source!G206</f>
        <v>Добавлять или исключать на 5 мм изменения толщины к поз.10-3303-2-3</v>
      </c>
      <c r="D326" s="22" t="str">
        <f>Source!DW206</f>
        <v>100 м2</v>
      </c>
      <c r="E326" s="9">
        <f>Source!I206</f>
        <v>3.03</v>
      </c>
      <c r="F326" s="24"/>
      <c r="G326" s="23"/>
      <c r="H326" s="9"/>
      <c r="I326" s="9"/>
      <c r="J326" s="25"/>
      <c r="K326" s="25"/>
      <c r="Q326">
        <f>ROUND((Source!BZ206/100)*ROUND((Source!AF206*Source!AV206)*Source!I206, 2), 2)</f>
        <v>917.04</v>
      </c>
      <c r="R326">
        <f>Source!X206</f>
        <v>917.04</v>
      </c>
      <c r="S326">
        <f>ROUND((Source!CA206/100)*ROUND((Source!AF206*Source!AV206)*Source!I206, 2), 2)</f>
        <v>131.01</v>
      </c>
      <c r="T326">
        <f>Source!Y206</f>
        <v>131.01</v>
      </c>
      <c r="U326">
        <f>ROUND((175/100)*ROUND((Source!AE206*Source!AV206)*Source!I206, 2), 2)</f>
        <v>317.94</v>
      </c>
      <c r="V326">
        <f>ROUND((108/100)*ROUND(Source!CS206*Source!I206, 2), 2)</f>
        <v>196.21</v>
      </c>
    </row>
    <row r="327" spans="1:22" x14ac:dyDescent="0.2">
      <c r="C327" s="26" t="str">
        <f>"Объем: "&amp;Source!I206&amp;"=303/"&amp;"100"</f>
        <v>Объем: 3,03=303/100</v>
      </c>
    </row>
    <row r="328" spans="1:22" ht="14.25" x14ac:dyDescent="0.2">
      <c r="A328" s="20"/>
      <c r="B328" s="21"/>
      <c r="C328" s="21" t="s">
        <v>685</v>
      </c>
      <c r="D328" s="22"/>
      <c r="E328" s="9"/>
      <c r="F328" s="24">
        <f>Source!AO206</f>
        <v>432.36</v>
      </c>
      <c r="G328" s="23" t="str">
        <f>Source!DG206</f>
        <v/>
      </c>
      <c r="H328" s="9">
        <f>Source!AV206</f>
        <v>1</v>
      </c>
      <c r="I328" s="9">
        <f>IF(Source!BA206&lt;&gt; 0, Source!BA206, 1)</f>
        <v>1</v>
      </c>
      <c r="J328" s="25">
        <f>Source!S206</f>
        <v>1310.05</v>
      </c>
      <c r="K328" s="25"/>
    </row>
    <row r="329" spans="1:22" ht="14.25" x14ac:dyDescent="0.2">
      <c r="A329" s="20"/>
      <c r="B329" s="21"/>
      <c r="C329" s="21" t="s">
        <v>686</v>
      </c>
      <c r="D329" s="22"/>
      <c r="E329" s="9"/>
      <c r="F329" s="24">
        <f>Source!AM206</f>
        <v>105.24</v>
      </c>
      <c r="G329" s="23" t="str">
        <f>Source!DE206</f>
        <v/>
      </c>
      <c r="H329" s="9">
        <f>Source!AV206</f>
        <v>1</v>
      </c>
      <c r="I329" s="9">
        <f>IF(Source!BB206&lt;&gt; 0, Source!BB206, 1)</f>
        <v>1</v>
      </c>
      <c r="J329" s="25">
        <f>Source!Q206</f>
        <v>318.88</v>
      </c>
      <c r="K329" s="25"/>
    </row>
    <row r="330" spans="1:22" ht="14.25" x14ac:dyDescent="0.2">
      <c r="A330" s="20"/>
      <c r="B330" s="21"/>
      <c r="C330" s="21" t="s">
        <v>687</v>
      </c>
      <c r="D330" s="22"/>
      <c r="E330" s="9"/>
      <c r="F330" s="24">
        <f>Source!AN206</f>
        <v>59.96</v>
      </c>
      <c r="G330" s="23" t="str">
        <f>Source!DF206</f>
        <v/>
      </c>
      <c r="H330" s="9">
        <f>Source!AV206</f>
        <v>1</v>
      </c>
      <c r="I330" s="9">
        <f>IF(Source!BS206&lt;&gt; 0, Source!BS206, 1)</f>
        <v>1</v>
      </c>
      <c r="J330" s="27">
        <f>Source!R206</f>
        <v>181.68</v>
      </c>
      <c r="K330" s="25"/>
    </row>
    <row r="331" spans="1:22" ht="14.25" x14ac:dyDescent="0.2">
      <c r="A331" s="20"/>
      <c r="B331" s="21"/>
      <c r="C331" s="21" t="s">
        <v>694</v>
      </c>
      <c r="D331" s="22"/>
      <c r="E331" s="9"/>
      <c r="F331" s="24">
        <f>Source!AL206</f>
        <v>2972.84</v>
      </c>
      <c r="G331" s="23" t="str">
        <f>Source!DD206</f>
        <v/>
      </c>
      <c r="H331" s="9">
        <f>Source!AW206</f>
        <v>1</v>
      </c>
      <c r="I331" s="9">
        <f>IF(Source!BC206&lt;&gt; 0, Source!BC206, 1)</f>
        <v>1</v>
      </c>
      <c r="J331" s="25">
        <f>Source!P206</f>
        <v>9007.7099999999991</v>
      </c>
      <c r="K331" s="25"/>
    </row>
    <row r="332" spans="1:22" ht="14.25" x14ac:dyDescent="0.2">
      <c r="A332" s="20"/>
      <c r="B332" s="21"/>
      <c r="C332" s="21" t="s">
        <v>688</v>
      </c>
      <c r="D332" s="22" t="s">
        <v>689</v>
      </c>
      <c r="E332" s="9">
        <f>Source!AT206</f>
        <v>70</v>
      </c>
      <c r="F332" s="24"/>
      <c r="G332" s="23"/>
      <c r="H332" s="9"/>
      <c r="I332" s="9"/>
      <c r="J332" s="25">
        <f>SUM(R326:R331)</f>
        <v>917.04</v>
      </c>
      <c r="K332" s="25"/>
    </row>
    <row r="333" spans="1:22" ht="14.25" x14ac:dyDescent="0.2">
      <c r="A333" s="20"/>
      <c r="B333" s="21"/>
      <c r="C333" s="21" t="s">
        <v>690</v>
      </c>
      <c r="D333" s="22" t="s">
        <v>689</v>
      </c>
      <c r="E333" s="9">
        <f>Source!AU206</f>
        <v>10</v>
      </c>
      <c r="F333" s="24"/>
      <c r="G333" s="23"/>
      <c r="H333" s="9"/>
      <c r="I333" s="9"/>
      <c r="J333" s="25">
        <f>SUM(T326:T332)</f>
        <v>131.01</v>
      </c>
      <c r="K333" s="25"/>
    </row>
    <row r="334" spans="1:22" ht="14.25" x14ac:dyDescent="0.2">
      <c r="A334" s="20"/>
      <c r="B334" s="21"/>
      <c r="C334" s="21" t="s">
        <v>691</v>
      </c>
      <c r="D334" s="22" t="s">
        <v>689</v>
      </c>
      <c r="E334" s="9">
        <f>108</f>
        <v>108</v>
      </c>
      <c r="F334" s="24"/>
      <c r="G334" s="23"/>
      <c r="H334" s="9"/>
      <c r="I334" s="9"/>
      <c r="J334" s="25">
        <f>SUM(V326:V333)</f>
        <v>196.21</v>
      </c>
      <c r="K334" s="25"/>
    </row>
    <row r="335" spans="1:22" ht="14.25" x14ac:dyDescent="0.2">
      <c r="A335" s="20"/>
      <c r="B335" s="21"/>
      <c r="C335" s="21" t="s">
        <v>692</v>
      </c>
      <c r="D335" s="22" t="s">
        <v>693</v>
      </c>
      <c r="E335" s="9">
        <f>Source!AQ206</f>
        <v>2.31</v>
      </c>
      <c r="F335" s="24"/>
      <c r="G335" s="23" t="str">
        <f>Source!DI206</f>
        <v/>
      </c>
      <c r="H335" s="9">
        <f>Source!AV206</f>
        <v>1</v>
      </c>
      <c r="I335" s="9"/>
      <c r="J335" s="25"/>
      <c r="K335" s="25">
        <f>Source!U206</f>
        <v>6.9992999999999999</v>
      </c>
    </row>
    <row r="336" spans="1:22" ht="15" x14ac:dyDescent="0.25">
      <c r="A336" s="30"/>
      <c r="B336" s="30"/>
      <c r="C336" s="30"/>
      <c r="D336" s="30"/>
      <c r="E336" s="30"/>
      <c r="F336" s="30"/>
      <c r="G336" s="30"/>
      <c r="H336" s="30"/>
      <c r="I336" s="65">
        <f>J328+J329+J331+J332+J333+J334</f>
        <v>11880.9</v>
      </c>
      <c r="J336" s="65"/>
      <c r="K336" s="31">
        <f>IF(Source!I206&lt;&gt;0, ROUND(I336/Source!I206, 2), 0)</f>
        <v>3921.09</v>
      </c>
      <c r="P336" s="28">
        <f>I336</f>
        <v>11880.9</v>
      </c>
    </row>
    <row r="337" spans="1:22" ht="57" x14ac:dyDescent="0.2">
      <c r="A337" s="20" t="str">
        <f>Source!E207</f>
        <v>31</v>
      </c>
      <c r="B337" s="21" t="str">
        <f>Source!F207</f>
        <v>5.3-3103-11-1/1</v>
      </c>
      <c r="C337" s="21" t="str">
        <f>Source!G207</f>
        <v>Устройство наливного полиуретанового покрытия спортивных площадок и беговых дорожек толщиной 10 мм</v>
      </c>
      <c r="D337" s="22" t="str">
        <f>Source!DW207</f>
        <v>100 м2</v>
      </c>
      <c r="E337" s="9">
        <f>Source!I207</f>
        <v>3.03</v>
      </c>
      <c r="F337" s="24"/>
      <c r="G337" s="23"/>
      <c r="H337" s="9"/>
      <c r="I337" s="9"/>
      <c r="J337" s="25"/>
      <c r="K337" s="25"/>
      <c r="Q337">
        <f>ROUND((Source!BZ207/100)*ROUND((Source!AF207*Source!AV207)*Source!I207, 2), 2)</f>
        <v>8646.5300000000007</v>
      </c>
      <c r="R337">
        <f>Source!X207</f>
        <v>8646.5300000000007</v>
      </c>
      <c r="S337">
        <f>ROUND((Source!CA207/100)*ROUND((Source!AF207*Source!AV207)*Source!I207, 2), 2)</f>
        <v>1235.22</v>
      </c>
      <c r="T337">
        <f>Source!Y207</f>
        <v>1235.22</v>
      </c>
      <c r="U337">
        <f>ROUND((175/100)*ROUND((Source!AE207*Source!AV207)*Source!I207, 2), 2)</f>
        <v>10941.49</v>
      </c>
      <c r="V337">
        <f>ROUND((108/100)*ROUND(Source!CS207*Source!I207, 2), 2)</f>
        <v>6752.46</v>
      </c>
    </row>
    <row r="338" spans="1:22" x14ac:dyDescent="0.2">
      <c r="C338" s="26" t="str">
        <f>"Объем: "&amp;Source!I207&amp;"=303/"&amp;"100"</f>
        <v>Объем: 3,03=303/100</v>
      </c>
    </row>
    <row r="339" spans="1:22" ht="14.25" x14ac:dyDescent="0.2">
      <c r="A339" s="20"/>
      <c r="B339" s="21"/>
      <c r="C339" s="21" t="s">
        <v>685</v>
      </c>
      <c r="D339" s="22"/>
      <c r="E339" s="9"/>
      <c r="F339" s="24">
        <f>Source!AO207</f>
        <v>4076.63</v>
      </c>
      <c r="G339" s="23" t="str">
        <f>Source!DG207</f>
        <v/>
      </c>
      <c r="H339" s="9">
        <f>Source!AV207</f>
        <v>1</v>
      </c>
      <c r="I339" s="9">
        <f>IF(Source!BA207&lt;&gt; 0, Source!BA207, 1)</f>
        <v>1</v>
      </c>
      <c r="J339" s="25">
        <f>Source!S207</f>
        <v>12352.19</v>
      </c>
      <c r="K339" s="25"/>
    </row>
    <row r="340" spans="1:22" ht="14.25" x14ac:dyDescent="0.2">
      <c r="A340" s="20"/>
      <c r="B340" s="21"/>
      <c r="C340" s="21" t="s">
        <v>686</v>
      </c>
      <c r="D340" s="22"/>
      <c r="E340" s="9"/>
      <c r="F340" s="24">
        <f>Source!AM207</f>
        <v>2617.25</v>
      </c>
      <c r="G340" s="23" t="str">
        <f>Source!DE207</f>
        <v/>
      </c>
      <c r="H340" s="9">
        <f>Source!AV207</f>
        <v>1</v>
      </c>
      <c r="I340" s="9">
        <f>IF(Source!BB207&lt;&gt; 0, Source!BB207, 1)</f>
        <v>1</v>
      </c>
      <c r="J340" s="25">
        <f>Source!Q207</f>
        <v>7930.27</v>
      </c>
      <c r="K340" s="25"/>
    </row>
    <row r="341" spans="1:22" ht="14.25" x14ac:dyDescent="0.2">
      <c r="A341" s="20"/>
      <c r="B341" s="21"/>
      <c r="C341" s="21" t="s">
        <v>687</v>
      </c>
      <c r="D341" s="22"/>
      <c r="E341" s="9"/>
      <c r="F341" s="24">
        <f>Source!AN207</f>
        <v>2063.46</v>
      </c>
      <c r="G341" s="23" t="str">
        <f>Source!DF207</f>
        <v/>
      </c>
      <c r="H341" s="9">
        <f>Source!AV207</f>
        <v>1</v>
      </c>
      <c r="I341" s="9">
        <f>IF(Source!BS207&lt;&gt; 0, Source!BS207, 1)</f>
        <v>1</v>
      </c>
      <c r="J341" s="27">
        <f>Source!R207</f>
        <v>6252.28</v>
      </c>
      <c r="K341" s="25"/>
    </row>
    <row r="342" spans="1:22" ht="14.25" x14ac:dyDescent="0.2">
      <c r="A342" s="20"/>
      <c r="B342" s="21"/>
      <c r="C342" s="21" t="s">
        <v>694</v>
      </c>
      <c r="D342" s="22"/>
      <c r="E342" s="9"/>
      <c r="F342" s="24">
        <f>Source!AL207</f>
        <v>102359.62</v>
      </c>
      <c r="G342" s="23" t="str">
        <f>Source!DD207</f>
        <v/>
      </c>
      <c r="H342" s="9">
        <f>Source!AW207</f>
        <v>1</v>
      </c>
      <c r="I342" s="9">
        <f>IF(Source!BC207&lt;&gt; 0, Source!BC207, 1)</f>
        <v>1</v>
      </c>
      <c r="J342" s="25">
        <f>Source!P207</f>
        <v>310149.65000000002</v>
      </c>
      <c r="K342" s="25"/>
    </row>
    <row r="343" spans="1:22" ht="14.25" x14ac:dyDescent="0.2">
      <c r="A343" s="20"/>
      <c r="B343" s="21"/>
      <c r="C343" s="21" t="s">
        <v>688</v>
      </c>
      <c r="D343" s="22" t="s">
        <v>689</v>
      </c>
      <c r="E343" s="9">
        <f>Source!AT207</f>
        <v>70</v>
      </c>
      <c r="F343" s="24"/>
      <c r="G343" s="23"/>
      <c r="H343" s="9"/>
      <c r="I343" s="9"/>
      <c r="J343" s="25">
        <f>SUM(R337:R342)</f>
        <v>8646.5300000000007</v>
      </c>
      <c r="K343" s="25"/>
    </row>
    <row r="344" spans="1:22" ht="14.25" x14ac:dyDescent="0.2">
      <c r="A344" s="20"/>
      <c r="B344" s="21"/>
      <c r="C344" s="21" t="s">
        <v>690</v>
      </c>
      <c r="D344" s="22" t="s">
        <v>689</v>
      </c>
      <c r="E344" s="9">
        <f>Source!AU207</f>
        <v>10</v>
      </c>
      <c r="F344" s="24"/>
      <c r="G344" s="23"/>
      <c r="H344" s="9"/>
      <c r="I344" s="9"/>
      <c r="J344" s="25">
        <f>SUM(T337:T343)</f>
        <v>1235.22</v>
      </c>
      <c r="K344" s="25"/>
    </row>
    <row r="345" spans="1:22" ht="14.25" x14ac:dyDescent="0.2">
      <c r="A345" s="20"/>
      <c r="B345" s="21"/>
      <c r="C345" s="21" t="s">
        <v>691</v>
      </c>
      <c r="D345" s="22" t="s">
        <v>689</v>
      </c>
      <c r="E345" s="9">
        <f>108</f>
        <v>108</v>
      </c>
      <c r="F345" s="24"/>
      <c r="G345" s="23"/>
      <c r="H345" s="9"/>
      <c r="I345" s="9"/>
      <c r="J345" s="25">
        <f>SUM(V337:V344)</f>
        <v>6752.46</v>
      </c>
      <c r="K345" s="25"/>
    </row>
    <row r="346" spans="1:22" ht="14.25" x14ac:dyDescent="0.2">
      <c r="A346" s="20"/>
      <c r="B346" s="21"/>
      <c r="C346" s="21" t="s">
        <v>692</v>
      </c>
      <c r="D346" s="22" t="s">
        <v>693</v>
      </c>
      <c r="E346" s="9">
        <f>Source!AQ207</f>
        <v>18.440000000000001</v>
      </c>
      <c r="F346" s="24"/>
      <c r="G346" s="23" t="str">
        <f>Source!DI207</f>
        <v/>
      </c>
      <c r="H346" s="9">
        <f>Source!AV207</f>
        <v>1</v>
      </c>
      <c r="I346" s="9"/>
      <c r="J346" s="25"/>
      <c r="K346" s="25">
        <f>Source!U207</f>
        <v>55.873199999999997</v>
      </c>
    </row>
    <row r="347" spans="1:22" ht="15" x14ac:dyDescent="0.25">
      <c r="A347" s="30"/>
      <c r="B347" s="30"/>
      <c r="C347" s="30"/>
      <c r="D347" s="30"/>
      <c r="E347" s="30"/>
      <c r="F347" s="30"/>
      <c r="G347" s="30"/>
      <c r="H347" s="30"/>
      <c r="I347" s="65">
        <f>J339+J340+J342+J343+J344+J345</f>
        <v>347066.32000000007</v>
      </c>
      <c r="J347" s="65"/>
      <c r="K347" s="31">
        <f>IF(Source!I207&lt;&gt;0, ROUND(I347/Source!I207, 2), 0)</f>
        <v>114543.34</v>
      </c>
      <c r="P347" s="28">
        <f>I347</f>
        <v>347066.32000000007</v>
      </c>
    </row>
    <row r="348" spans="1:22" ht="28.5" x14ac:dyDescent="0.2">
      <c r="A348" s="20" t="str">
        <f>Source!E208</f>
        <v>32</v>
      </c>
      <c r="B348" s="21" t="str">
        <f>Source!F208</f>
        <v>1.50-3203-37-3/1</v>
      </c>
      <c r="C348" s="21" t="str">
        <f>Source!G208</f>
        <v>Монтаж мелких конструкций из стали различного профиля массой до 100 кг</v>
      </c>
      <c r="D348" s="22" t="str">
        <f>Source!DW208</f>
        <v>т</v>
      </c>
      <c r="E348" s="9">
        <f>Source!I208</f>
        <v>2.6</v>
      </c>
      <c r="F348" s="24"/>
      <c r="G348" s="23"/>
      <c r="H348" s="9"/>
      <c r="I348" s="9"/>
      <c r="J348" s="25"/>
      <c r="K348" s="25"/>
      <c r="Q348">
        <f>ROUND((Source!BZ208/100)*ROUND((Source!AF208*Source!AV208)*Source!I208, 2), 2)</f>
        <v>40932.959999999999</v>
      </c>
      <c r="R348">
        <f>Source!X208</f>
        <v>40932.959999999999</v>
      </c>
      <c r="S348">
        <f>ROUND((Source!CA208/100)*ROUND((Source!AF208*Source!AV208)*Source!I208, 2), 2)</f>
        <v>5847.57</v>
      </c>
      <c r="T348">
        <f>Source!Y208</f>
        <v>5847.57</v>
      </c>
      <c r="U348">
        <f>ROUND((175/100)*ROUND((Source!AE208*Source!AV208)*Source!I208, 2), 2)</f>
        <v>116.71</v>
      </c>
      <c r="V348">
        <f>ROUND((108/100)*ROUND(Source!CS208*Source!I208, 2), 2)</f>
        <v>72.03</v>
      </c>
    </row>
    <row r="349" spans="1:22" ht="14.25" x14ac:dyDescent="0.2">
      <c r="A349" s="20"/>
      <c r="B349" s="21"/>
      <c r="C349" s="21" t="s">
        <v>685</v>
      </c>
      <c r="D349" s="22"/>
      <c r="E349" s="9"/>
      <c r="F349" s="24">
        <f>Source!AO208</f>
        <v>22490.639999999999</v>
      </c>
      <c r="G349" s="23" t="str">
        <f>Source!DG208</f>
        <v/>
      </c>
      <c r="H349" s="9">
        <f>Source!AV208</f>
        <v>1</v>
      </c>
      <c r="I349" s="9">
        <f>IF(Source!BA208&lt;&gt; 0, Source!BA208, 1)</f>
        <v>1</v>
      </c>
      <c r="J349" s="25">
        <f>Source!S208</f>
        <v>58475.66</v>
      </c>
      <c r="K349" s="25"/>
    </row>
    <row r="350" spans="1:22" ht="14.25" x14ac:dyDescent="0.2">
      <c r="A350" s="20"/>
      <c r="B350" s="21"/>
      <c r="C350" s="21" t="s">
        <v>686</v>
      </c>
      <c r="D350" s="22"/>
      <c r="E350" s="9"/>
      <c r="F350" s="24">
        <f>Source!AM208</f>
        <v>589</v>
      </c>
      <c r="G350" s="23" t="str">
        <f>Source!DE208</f>
        <v/>
      </c>
      <c r="H350" s="9">
        <f>Source!AV208</f>
        <v>1</v>
      </c>
      <c r="I350" s="9">
        <f>IF(Source!BB208&lt;&gt; 0, Source!BB208, 1)</f>
        <v>1</v>
      </c>
      <c r="J350" s="25">
        <f>Source!Q208</f>
        <v>1531.4</v>
      </c>
      <c r="K350" s="25"/>
    </row>
    <row r="351" spans="1:22" ht="14.25" x14ac:dyDescent="0.2">
      <c r="A351" s="20"/>
      <c r="B351" s="21"/>
      <c r="C351" s="21" t="s">
        <v>687</v>
      </c>
      <c r="D351" s="22"/>
      <c r="E351" s="9"/>
      <c r="F351" s="24">
        <f>Source!AN208</f>
        <v>25.65</v>
      </c>
      <c r="G351" s="23" t="str">
        <f>Source!DF208</f>
        <v/>
      </c>
      <c r="H351" s="9">
        <f>Source!AV208</f>
        <v>1</v>
      </c>
      <c r="I351" s="9">
        <f>IF(Source!BS208&lt;&gt; 0, Source!BS208, 1)</f>
        <v>1</v>
      </c>
      <c r="J351" s="27">
        <f>Source!R208</f>
        <v>66.69</v>
      </c>
      <c r="K351" s="25"/>
    </row>
    <row r="352" spans="1:22" ht="14.25" x14ac:dyDescent="0.2">
      <c r="A352" s="20"/>
      <c r="B352" s="21"/>
      <c r="C352" s="21" t="s">
        <v>694</v>
      </c>
      <c r="D352" s="22"/>
      <c r="E352" s="9"/>
      <c r="F352" s="24">
        <f>Source!AL208</f>
        <v>75528.429999999993</v>
      </c>
      <c r="G352" s="23" t="str">
        <f>Source!DD208</f>
        <v/>
      </c>
      <c r="H352" s="9">
        <f>Source!AW208</f>
        <v>1</v>
      </c>
      <c r="I352" s="9">
        <f>IF(Source!BC208&lt;&gt; 0, Source!BC208, 1)</f>
        <v>1</v>
      </c>
      <c r="J352" s="25">
        <f>Source!P208</f>
        <v>196373.92</v>
      </c>
      <c r="K352" s="25"/>
    </row>
    <row r="353" spans="1:22" ht="42.75" x14ac:dyDescent="0.2">
      <c r="A353" s="20" t="str">
        <f>Source!E209</f>
        <v>32,1</v>
      </c>
      <c r="B353" s="21" t="str">
        <f>Source!F209</f>
        <v>Цена поставщика</v>
      </c>
      <c r="C353" s="21" t="s">
        <v>697</v>
      </c>
      <c r="D353" s="22" t="str">
        <f>Source!DW209</f>
        <v>шт.</v>
      </c>
      <c r="E353" s="9">
        <f>Source!I209</f>
        <v>4</v>
      </c>
      <c r="F353" s="24">
        <f>Source!AK209</f>
        <v>12083.33</v>
      </c>
      <c r="G353" s="34" t="s">
        <v>3</v>
      </c>
      <c r="H353" s="9">
        <f>Source!AW209</f>
        <v>1</v>
      </c>
      <c r="I353" s="9">
        <f>IF(Source!BC209&lt;&gt; 0, Source!BC209, 1)</f>
        <v>1</v>
      </c>
      <c r="J353" s="25">
        <f>Source!O209</f>
        <v>48333.32</v>
      </c>
      <c r="K353" s="25"/>
      <c r="Q353">
        <f>ROUND((Source!BZ209/100)*ROUND((Source!AF209*Source!AV209)*Source!I209, 2), 2)</f>
        <v>0</v>
      </c>
      <c r="R353">
        <f>Source!X209</f>
        <v>0</v>
      </c>
      <c r="S353">
        <f>ROUND((Source!CA209/100)*ROUND((Source!AF209*Source!AV209)*Source!I209, 2), 2)</f>
        <v>0</v>
      </c>
      <c r="T353">
        <f>Source!Y209</f>
        <v>0</v>
      </c>
      <c r="U353">
        <f>ROUND((175/100)*ROUND((Source!AE209*Source!AV209)*Source!I209, 2), 2)</f>
        <v>0</v>
      </c>
      <c r="V353">
        <f>ROUND((108/100)*ROUND(Source!CS209*Source!I209, 2), 2)</f>
        <v>0</v>
      </c>
    </row>
    <row r="354" spans="1:22" ht="42.75" x14ac:dyDescent="0.2">
      <c r="A354" s="20" t="str">
        <f>Source!E210</f>
        <v>32,2</v>
      </c>
      <c r="B354" s="21" t="str">
        <f>Source!F210</f>
        <v>Цена поставщика</v>
      </c>
      <c r="C354" s="21" t="s">
        <v>698</v>
      </c>
      <c r="D354" s="22" t="str">
        <f>Source!DW210</f>
        <v>шт.</v>
      </c>
      <c r="E354" s="9">
        <f>Source!I210</f>
        <v>1</v>
      </c>
      <c r="F354" s="24">
        <f>Source!AK210</f>
        <v>97708.33</v>
      </c>
      <c r="G354" s="34" t="s">
        <v>3</v>
      </c>
      <c r="H354" s="9">
        <f>Source!AW210</f>
        <v>1</v>
      </c>
      <c r="I354" s="9">
        <f>IF(Source!BC210&lt;&gt; 0, Source!BC210, 1)</f>
        <v>1</v>
      </c>
      <c r="J354" s="25">
        <f>Source!O210</f>
        <v>97708.33</v>
      </c>
      <c r="K354" s="25"/>
      <c r="Q354">
        <f>ROUND((Source!BZ210/100)*ROUND((Source!AF210*Source!AV210)*Source!I210, 2), 2)</f>
        <v>0</v>
      </c>
      <c r="R354">
        <f>Source!X210</f>
        <v>0</v>
      </c>
      <c r="S354">
        <f>ROUND((Source!CA210/100)*ROUND((Source!AF210*Source!AV210)*Source!I210, 2), 2)</f>
        <v>0</v>
      </c>
      <c r="T354">
        <f>Source!Y210</f>
        <v>0</v>
      </c>
      <c r="U354">
        <f>ROUND((175/100)*ROUND((Source!AE210*Source!AV210)*Source!I210, 2), 2)</f>
        <v>0</v>
      </c>
      <c r="V354">
        <f>ROUND((108/100)*ROUND(Source!CS210*Source!I210, 2), 2)</f>
        <v>0</v>
      </c>
    </row>
    <row r="355" spans="1:22" ht="42.75" x14ac:dyDescent="0.2">
      <c r="A355" s="20" t="str">
        <f>Source!E211</f>
        <v>32,3</v>
      </c>
      <c r="B355" s="21" t="str">
        <f>Source!F211</f>
        <v>Цена поставщика</v>
      </c>
      <c r="C355" s="21" t="s">
        <v>699</v>
      </c>
      <c r="D355" s="22" t="str">
        <f>Source!DW211</f>
        <v>шт.</v>
      </c>
      <c r="E355" s="9">
        <f>Source!I211</f>
        <v>1</v>
      </c>
      <c r="F355" s="24">
        <f>Source!AK211</f>
        <v>7083.33</v>
      </c>
      <c r="G355" s="34" t="s">
        <v>3</v>
      </c>
      <c r="H355" s="9">
        <f>Source!AW211</f>
        <v>1</v>
      </c>
      <c r="I355" s="9">
        <f>IF(Source!BC211&lt;&gt; 0, Source!BC211, 1)</f>
        <v>1</v>
      </c>
      <c r="J355" s="25">
        <f>Source!O211</f>
        <v>7083.33</v>
      </c>
      <c r="K355" s="25"/>
      <c r="Q355">
        <f>ROUND((Source!BZ211/100)*ROUND((Source!AF211*Source!AV211)*Source!I211, 2), 2)</f>
        <v>0</v>
      </c>
      <c r="R355">
        <f>Source!X211</f>
        <v>0</v>
      </c>
      <c r="S355">
        <f>ROUND((Source!CA211/100)*ROUND((Source!AF211*Source!AV211)*Source!I211, 2), 2)</f>
        <v>0</v>
      </c>
      <c r="T355">
        <f>Source!Y211</f>
        <v>0</v>
      </c>
      <c r="U355">
        <f>ROUND((175/100)*ROUND((Source!AE211*Source!AV211)*Source!I211, 2), 2)</f>
        <v>0</v>
      </c>
      <c r="V355">
        <f>ROUND((108/100)*ROUND(Source!CS211*Source!I211, 2), 2)</f>
        <v>0</v>
      </c>
    </row>
    <row r="356" spans="1:22" ht="54" x14ac:dyDescent="0.2">
      <c r="A356" s="20" t="str">
        <f>Source!E212</f>
        <v>32,4</v>
      </c>
      <c r="B356" s="21" t="str">
        <f>Source!F212</f>
        <v>Цена поставщика</v>
      </c>
      <c r="C356" s="21" t="s">
        <v>700</v>
      </c>
      <c r="D356" s="22" t="str">
        <f>Source!DW212</f>
        <v>шт.</v>
      </c>
      <c r="E356" s="9">
        <f>Source!I212</f>
        <v>2</v>
      </c>
      <c r="F356" s="24">
        <f>Source!AK212</f>
        <v>29291.67</v>
      </c>
      <c r="G356" s="34" t="s">
        <v>3</v>
      </c>
      <c r="H356" s="9">
        <f>Source!AW212</f>
        <v>1</v>
      </c>
      <c r="I356" s="9">
        <f>IF(Source!BC212&lt;&gt; 0, Source!BC212, 1)</f>
        <v>1</v>
      </c>
      <c r="J356" s="25">
        <f>Source!O212</f>
        <v>58583.34</v>
      </c>
      <c r="K356" s="25"/>
      <c r="Q356">
        <f>ROUND((Source!BZ212/100)*ROUND((Source!AF212*Source!AV212)*Source!I212, 2), 2)</f>
        <v>0</v>
      </c>
      <c r="R356">
        <f>Source!X212</f>
        <v>0</v>
      </c>
      <c r="S356">
        <f>ROUND((Source!CA212/100)*ROUND((Source!AF212*Source!AV212)*Source!I212, 2), 2)</f>
        <v>0</v>
      </c>
      <c r="T356">
        <f>Source!Y212</f>
        <v>0</v>
      </c>
      <c r="U356">
        <f>ROUND((175/100)*ROUND((Source!AE212*Source!AV212)*Source!I212, 2), 2)</f>
        <v>0</v>
      </c>
      <c r="V356">
        <f>ROUND((108/100)*ROUND(Source!CS212*Source!I212, 2), 2)</f>
        <v>0</v>
      </c>
    </row>
    <row r="357" spans="1:22" ht="54" x14ac:dyDescent="0.2">
      <c r="A357" s="20" t="str">
        <f>Source!E213</f>
        <v>32,5</v>
      </c>
      <c r="B357" s="21" t="str">
        <f>Source!F213</f>
        <v>Цена поставщика</v>
      </c>
      <c r="C357" s="21" t="s">
        <v>701</v>
      </c>
      <c r="D357" s="22" t="str">
        <f>Source!DW213</f>
        <v>шт.</v>
      </c>
      <c r="E357" s="9">
        <f>Source!I213</f>
        <v>1</v>
      </c>
      <c r="F357" s="24">
        <f>Source!AK213</f>
        <v>15000</v>
      </c>
      <c r="G357" s="34" t="s">
        <v>3</v>
      </c>
      <c r="H357" s="9">
        <f>Source!AW213</f>
        <v>1</v>
      </c>
      <c r="I357" s="9">
        <f>IF(Source!BC213&lt;&gt; 0, Source!BC213, 1)</f>
        <v>1</v>
      </c>
      <c r="J357" s="25">
        <f>Source!O213</f>
        <v>15000</v>
      </c>
      <c r="K357" s="25"/>
      <c r="Q357">
        <f>ROUND((Source!BZ213/100)*ROUND((Source!AF213*Source!AV213)*Source!I213, 2), 2)</f>
        <v>0</v>
      </c>
      <c r="R357">
        <f>Source!X213</f>
        <v>0</v>
      </c>
      <c r="S357">
        <f>ROUND((Source!CA213/100)*ROUND((Source!AF213*Source!AV213)*Source!I213, 2), 2)</f>
        <v>0</v>
      </c>
      <c r="T357">
        <f>Source!Y213</f>
        <v>0</v>
      </c>
      <c r="U357">
        <f>ROUND((175/100)*ROUND((Source!AE213*Source!AV213)*Source!I213, 2), 2)</f>
        <v>0</v>
      </c>
      <c r="V357">
        <f>ROUND((108/100)*ROUND(Source!CS213*Source!I213, 2), 2)</f>
        <v>0</v>
      </c>
    </row>
    <row r="358" spans="1:22" ht="54" x14ac:dyDescent="0.2">
      <c r="A358" s="20" t="str">
        <f>Source!E214</f>
        <v>32,6</v>
      </c>
      <c r="B358" s="21" t="str">
        <f>Source!F214</f>
        <v>Цена поставщика</v>
      </c>
      <c r="C358" s="21" t="s">
        <v>702</v>
      </c>
      <c r="D358" s="22" t="str">
        <f>Source!DW214</f>
        <v>шт.</v>
      </c>
      <c r="E358" s="9">
        <f>Source!I214</f>
        <v>1</v>
      </c>
      <c r="F358" s="24">
        <f>Source!AK214</f>
        <v>15000</v>
      </c>
      <c r="G358" s="34" t="s">
        <v>3</v>
      </c>
      <c r="H358" s="9">
        <f>Source!AW214</f>
        <v>1</v>
      </c>
      <c r="I358" s="9">
        <f>IF(Source!BC214&lt;&gt; 0, Source!BC214, 1)</f>
        <v>1</v>
      </c>
      <c r="J358" s="25">
        <f>Source!O214</f>
        <v>15000</v>
      </c>
      <c r="K358" s="25"/>
      <c r="Q358">
        <f>ROUND((Source!BZ214/100)*ROUND((Source!AF214*Source!AV214)*Source!I214, 2), 2)</f>
        <v>0</v>
      </c>
      <c r="R358">
        <f>Source!X214</f>
        <v>0</v>
      </c>
      <c r="S358">
        <f>ROUND((Source!CA214/100)*ROUND((Source!AF214*Source!AV214)*Source!I214, 2), 2)</f>
        <v>0</v>
      </c>
      <c r="T358">
        <f>Source!Y214</f>
        <v>0</v>
      </c>
      <c r="U358">
        <f>ROUND((175/100)*ROUND((Source!AE214*Source!AV214)*Source!I214, 2), 2)</f>
        <v>0</v>
      </c>
      <c r="V358">
        <f>ROUND((108/100)*ROUND(Source!CS214*Source!I214, 2), 2)</f>
        <v>0</v>
      </c>
    </row>
    <row r="359" spans="1:22" ht="54" x14ac:dyDescent="0.2">
      <c r="A359" s="20" t="str">
        <f>Source!E215</f>
        <v>32,7</v>
      </c>
      <c r="B359" s="21" t="str">
        <f>Source!F215</f>
        <v>Цена поставщика</v>
      </c>
      <c r="C359" s="21" t="s">
        <v>703</v>
      </c>
      <c r="D359" s="22" t="str">
        <f>Source!DW215</f>
        <v>шт.</v>
      </c>
      <c r="E359" s="9">
        <f>Source!I215</f>
        <v>1</v>
      </c>
      <c r="F359" s="24">
        <f>Source!AK215</f>
        <v>15750</v>
      </c>
      <c r="G359" s="34" t="s">
        <v>3</v>
      </c>
      <c r="H359" s="9">
        <f>Source!AW215</f>
        <v>1</v>
      </c>
      <c r="I359" s="9">
        <f>IF(Source!BC215&lt;&gt; 0, Source!BC215, 1)</f>
        <v>1</v>
      </c>
      <c r="J359" s="25">
        <f>Source!O215</f>
        <v>15750</v>
      </c>
      <c r="K359" s="25"/>
      <c r="Q359">
        <f>ROUND((Source!BZ215/100)*ROUND((Source!AF215*Source!AV215)*Source!I215, 2), 2)</f>
        <v>0</v>
      </c>
      <c r="R359">
        <f>Source!X215</f>
        <v>0</v>
      </c>
      <c r="S359">
        <f>ROUND((Source!CA215/100)*ROUND((Source!AF215*Source!AV215)*Source!I215, 2), 2)</f>
        <v>0</v>
      </c>
      <c r="T359">
        <f>Source!Y215</f>
        <v>0</v>
      </c>
      <c r="U359">
        <f>ROUND((175/100)*ROUND((Source!AE215*Source!AV215)*Source!I215, 2), 2)</f>
        <v>0</v>
      </c>
      <c r="V359">
        <f>ROUND((108/100)*ROUND(Source!CS215*Source!I215, 2), 2)</f>
        <v>0</v>
      </c>
    </row>
    <row r="360" spans="1:22" ht="42.75" x14ac:dyDescent="0.2">
      <c r="A360" s="20" t="str">
        <f>Source!E216</f>
        <v>32,8</v>
      </c>
      <c r="B360" s="21" t="str">
        <f>Source!F216</f>
        <v>Цена поставщика</v>
      </c>
      <c r="C360" s="21" t="s">
        <v>704</v>
      </c>
      <c r="D360" s="22" t="str">
        <f>Source!DW216</f>
        <v>шт.</v>
      </c>
      <c r="E360" s="9">
        <f>Source!I216</f>
        <v>1</v>
      </c>
      <c r="F360" s="24">
        <f>Source!AK216</f>
        <v>23750</v>
      </c>
      <c r="G360" s="34" t="s">
        <v>3</v>
      </c>
      <c r="H360" s="9">
        <f>Source!AW216</f>
        <v>1</v>
      </c>
      <c r="I360" s="9">
        <f>IF(Source!BC216&lt;&gt; 0, Source!BC216, 1)</f>
        <v>1</v>
      </c>
      <c r="J360" s="25">
        <f>Source!O216</f>
        <v>23750</v>
      </c>
      <c r="K360" s="25"/>
      <c r="Q360">
        <f>ROUND((Source!BZ216/100)*ROUND((Source!AF216*Source!AV216)*Source!I216, 2), 2)</f>
        <v>0</v>
      </c>
      <c r="R360">
        <f>Source!X216</f>
        <v>0</v>
      </c>
      <c r="S360">
        <f>ROUND((Source!CA216/100)*ROUND((Source!AF216*Source!AV216)*Source!I216, 2), 2)</f>
        <v>0</v>
      </c>
      <c r="T360">
        <f>Source!Y216</f>
        <v>0</v>
      </c>
      <c r="U360">
        <f>ROUND((175/100)*ROUND((Source!AE216*Source!AV216)*Source!I216, 2), 2)</f>
        <v>0</v>
      </c>
      <c r="V360">
        <f>ROUND((108/100)*ROUND(Source!CS216*Source!I216, 2), 2)</f>
        <v>0</v>
      </c>
    </row>
    <row r="361" spans="1:22" ht="54" x14ac:dyDescent="0.2">
      <c r="A361" s="20" t="str">
        <f>Source!E217</f>
        <v>32,9</v>
      </c>
      <c r="B361" s="21" t="str">
        <f>Source!F217</f>
        <v>Цена поставщика</v>
      </c>
      <c r="C361" s="21" t="s">
        <v>705</v>
      </c>
      <c r="D361" s="22" t="str">
        <f>Source!DW217</f>
        <v>шт.</v>
      </c>
      <c r="E361" s="9">
        <f>Source!I217</f>
        <v>1</v>
      </c>
      <c r="F361" s="24">
        <f>Source!AK217</f>
        <v>10375</v>
      </c>
      <c r="G361" s="34" t="s">
        <v>3</v>
      </c>
      <c r="H361" s="9">
        <f>Source!AW217</f>
        <v>1</v>
      </c>
      <c r="I361" s="9">
        <f>IF(Source!BC217&lt;&gt; 0, Source!BC217, 1)</f>
        <v>1</v>
      </c>
      <c r="J361" s="25">
        <f>Source!O217</f>
        <v>10375</v>
      </c>
      <c r="K361" s="25"/>
      <c r="Q361">
        <f>ROUND((Source!BZ217/100)*ROUND((Source!AF217*Source!AV217)*Source!I217, 2), 2)</f>
        <v>0</v>
      </c>
      <c r="R361">
        <f>Source!X217</f>
        <v>0</v>
      </c>
      <c r="S361">
        <f>ROUND((Source!CA217/100)*ROUND((Source!AF217*Source!AV217)*Source!I217, 2), 2)</f>
        <v>0</v>
      </c>
      <c r="T361">
        <f>Source!Y217</f>
        <v>0</v>
      </c>
      <c r="U361">
        <f>ROUND((175/100)*ROUND((Source!AE217*Source!AV217)*Source!I217, 2), 2)</f>
        <v>0</v>
      </c>
      <c r="V361">
        <f>ROUND((108/100)*ROUND(Source!CS217*Source!I217, 2), 2)</f>
        <v>0</v>
      </c>
    </row>
    <row r="362" spans="1:22" ht="42.75" x14ac:dyDescent="0.2">
      <c r="A362" s="20" t="str">
        <f>Source!E218</f>
        <v>32,10</v>
      </c>
      <c r="B362" s="21" t="str">
        <f>Source!F218</f>
        <v>Цена поставщика</v>
      </c>
      <c r="C362" s="21" t="s">
        <v>706</v>
      </c>
      <c r="D362" s="22" t="str">
        <f>Source!DW218</f>
        <v>шт.</v>
      </c>
      <c r="E362" s="9">
        <f>Source!I218</f>
        <v>1</v>
      </c>
      <c r="F362" s="24">
        <f>Source!AK218</f>
        <v>10375</v>
      </c>
      <c r="G362" s="34" t="s">
        <v>3</v>
      </c>
      <c r="H362" s="9">
        <f>Source!AW218</f>
        <v>1</v>
      </c>
      <c r="I362" s="9">
        <f>IF(Source!BC218&lt;&gt; 0, Source!BC218, 1)</f>
        <v>1</v>
      </c>
      <c r="J362" s="25">
        <f>Source!O218</f>
        <v>10375</v>
      </c>
      <c r="K362" s="25"/>
      <c r="Q362">
        <f>ROUND((Source!BZ218/100)*ROUND((Source!AF218*Source!AV218)*Source!I218, 2), 2)</f>
        <v>0</v>
      </c>
      <c r="R362">
        <f>Source!X218</f>
        <v>0</v>
      </c>
      <c r="S362">
        <f>ROUND((Source!CA218/100)*ROUND((Source!AF218*Source!AV218)*Source!I218, 2), 2)</f>
        <v>0</v>
      </c>
      <c r="T362">
        <f>Source!Y218</f>
        <v>0</v>
      </c>
      <c r="U362">
        <f>ROUND((175/100)*ROUND((Source!AE218*Source!AV218)*Source!I218, 2), 2)</f>
        <v>0</v>
      </c>
      <c r="V362">
        <f>ROUND((108/100)*ROUND(Source!CS218*Source!I218, 2), 2)</f>
        <v>0</v>
      </c>
    </row>
    <row r="363" spans="1:22" ht="54" x14ac:dyDescent="0.2">
      <c r="A363" s="20" t="str">
        <f>Source!E219</f>
        <v>32,11</v>
      </c>
      <c r="B363" s="21" t="str">
        <f>Source!F219</f>
        <v>Цена поставщика</v>
      </c>
      <c r="C363" s="21" t="s">
        <v>707</v>
      </c>
      <c r="D363" s="22" t="str">
        <f>Source!DW219</f>
        <v>шт.</v>
      </c>
      <c r="E363" s="9">
        <f>Source!I219</f>
        <v>1</v>
      </c>
      <c r="F363" s="24">
        <f>Source!AK219</f>
        <v>6208.33</v>
      </c>
      <c r="G363" s="34" t="s">
        <v>3</v>
      </c>
      <c r="H363" s="9">
        <f>Source!AW219</f>
        <v>1</v>
      </c>
      <c r="I363" s="9">
        <f>IF(Source!BC219&lt;&gt; 0, Source!BC219, 1)</f>
        <v>1</v>
      </c>
      <c r="J363" s="25">
        <f>Source!O219</f>
        <v>6208.33</v>
      </c>
      <c r="K363" s="25"/>
      <c r="Q363">
        <f>ROUND((Source!BZ219/100)*ROUND((Source!AF219*Source!AV219)*Source!I219, 2), 2)</f>
        <v>0</v>
      </c>
      <c r="R363">
        <f>Source!X219</f>
        <v>0</v>
      </c>
      <c r="S363">
        <f>ROUND((Source!CA219/100)*ROUND((Source!AF219*Source!AV219)*Source!I219, 2), 2)</f>
        <v>0</v>
      </c>
      <c r="T363">
        <f>Source!Y219</f>
        <v>0</v>
      </c>
      <c r="U363">
        <f>ROUND((175/100)*ROUND((Source!AE219*Source!AV219)*Source!I219, 2), 2)</f>
        <v>0</v>
      </c>
      <c r="V363">
        <f>ROUND((108/100)*ROUND(Source!CS219*Source!I219, 2), 2)</f>
        <v>0</v>
      </c>
    </row>
    <row r="364" spans="1:22" ht="42.75" x14ac:dyDescent="0.2">
      <c r="A364" s="20" t="str">
        <f>Source!E220</f>
        <v>32,12</v>
      </c>
      <c r="B364" s="21" t="str">
        <f>Source!F220</f>
        <v>Цена поставщика</v>
      </c>
      <c r="C364" s="21" t="s">
        <v>708</v>
      </c>
      <c r="D364" s="22" t="str">
        <f>Source!DW220</f>
        <v>шт.</v>
      </c>
      <c r="E364" s="9">
        <f>Source!I220</f>
        <v>1</v>
      </c>
      <c r="F364" s="24">
        <f>Source!AK220</f>
        <v>6208.33</v>
      </c>
      <c r="G364" s="34" t="s">
        <v>3</v>
      </c>
      <c r="H364" s="9">
        <f>Source!AW220</f>
        <v>1</v>
      </c>
      <c r="I364" s="9">
        <f>IF(Source!BC220&lt;&gt; 0, Source!BC220, 1)</f>
        <v>1</v>
      </c>
      <c r="J364" s="25">
        <f>Source!O220</f>
        <v>6208.33</v>
      </c>
      <c r="K364" s="25"/>
      <c r="Q364">
        <f>ROUND((Source!BZ220/100)*ROUND((Source!AF220*Source!AV220)*Source!I220, 2), 2)</f>
        <v>0</v>
      </c>
      <c r="R364">
        <f>Source!X220</f>
        <v>0</v>
      </c>
      <c r="S364">
        <f>ROUND((Source!CA220/100)*ROUND((Source!AF220*Source!AV220)*Source!I220, 2), 2)</f>
        <v>0</v>
      </c>
      <c r="T364">
        <f>Source!Y220</f>
        <v>0</v>
      </c>
      <c r="U364">
        <f>ROUND((175/100)*ROUND((Source!AE220*Source!AV220)*Source!I220, 2), 2)</f>
        <v>0</v>
      </c>
      <c r="V364">
        <f>ROUND((108/100)*ROUND(Source!CS220*Source!I220, 2), 2)</f>
        <v>0</v>
      </c>
    </row>
    <row r="365" spans="1:22" ht="54" x14ac:dyDescent="0.2">
      <c r="A365" s="20" t="str">
        <f>Source!E221</f>
        <v>32,13</v>
      </c>
      <c r="B365" s="21" t="str">
        <f>Source!F221</f>
        <v>Цена поставщика</v>
      </c>
      <c r="C365" s="21" t="s">
        <v>709</v>
      </c>
      <c r="D365" s="22" t="str">
        <f>Source!DW221</f>
        <v>шт.</v>
      </c>
      <c r="E365" s="9">
        <f>Source!I221</f>
        <v>4</v>
      </c>
      <c r="F365" s="24">
        <f>Source!AK221</f>
        <v>10625</v>
      </c>
      <c r="G365" s="34" t="s">
        <v>3</v>
      </c>
      <c r="H365" s="9">
        <f>Source!AW221</f>
        <v>1</v>
      </c>
      <c r="I365" s="9">
        <f>IF(Source!BC221&lt;&gt; 0, Source!BC221, 1)</f>
        <v>1</v>
      </c>
      <c r="J365" s="25">
        <f>Source!O221</f>
        <v>42500</v>
      </c>
      <c r="K365" s="25"/>
      <c r="Q365">
        <f>ROUND((Source!BZ221/100)*ROUND((Source!AF221*Source!AV221)*Source!I221, 2), 2)</f>
        <v>0</v>
      </c>
      <c r="R365">
        <f>Source!X221</f>
        <v>0</v>
      </c>
      <c r="S365">
        <f>ROUND((Source!CA221/100)*ROUND((Source!AF221*Source!AV221)*Source!I221, 2), 2)</f>
        <v>0</v>
      </c>
      <c r="T365">
        <f>Source!Y221</f>
        <v>0</v>
      </c>
      <c r="U365">
        <f>ROUND((175/100)*ROUND((Source!AE221*Source!AV221)*Source!I221, 2), 2)</f>
        <v>0</v>
      </c>
      <c r="V365">
        <f>ROUND((108/100)*ROUND(Source!CS221*Source!I221, 2), 2)</f>
        <v>0</v>
      </c>
    </row>
    <row r="366" spans="1:22" ht="42.75" x14ac:dyDescent="0.2">
      <c r="A366" s="20" t="str">
        <f>Source!E222</f>
        <v>32,14</v>
      </c>
      <c r="B366" s="21" t="str">
        <f>Source!F222</f>
        <v>Цена поставщика</v>
      </c>
      <c r="C366" s="21" t="s">
        <v>710</v>
      </c>
      <c r="D366" s="22" t="str">
        <f>Source!DW222</f>
        <v>шт.</v>
      </c>
      <c r="E366" s="9">
        <f>Source!I222</f>
        <v>1</v>
      </c>
      <c r="F366" s="24">
        <f>Source!AK222</f>
        <v>33250</v>
      </c>
      <c r="G366" s="34" t="s">
        <v>3</v>
      </c>
      <c r="H366" s="9">
        <f>Source!AW222</f>
        <v>1</v>
      </c>
      <c r="I366" s="9">
        <f>IF(Source!BC222&lt;&gt; 0, Source!BC222, 1)</f>
        <v>1</v>
      </c>
      <c r="J366" s="25">
        <f>Source!O222</f>
        <v>33250</v>
      </c>
      <c r="K366" s="25"/>
      <c r="Q366">
        <f>ROUND((Source!BZ222/100)*ROUND((Source!AF222*Source!AV222)*Source!I222, 2), 2)</f>
        <v>0</v>
      </c>
      <c r="R366">
        <f>Source!X222</f>
        <v>0</v>
      </c>
      <c r="S366">
        <f>ROUND((Source!CA222/100)*ROUND((Source!AF222*Source!AV222)*Source!I222, 2), 2)</f>
        <v>0</v>
      </c>
      <c r="T366">
        <f>Source!Y222</f>
        <v>0</v>
      </c>
      <c r="U366">
        <f>ROUND((175/100)*ROUND((Source!AE222*Source!AV222)*Source!I222, 2), 2)</f>
        <v>0</v>
      </c>
      <c r="V366">
        <f>ROUND((108/100)*ROUND(Source!CS222*Source!I222, 2), 2)</f>
        <v>0</v>
      </c>
    </row>
    <row r="367" spans="1:22" ht="42.75" x14ac:dyDescent="0.2">
      <c r="A367" s="20" t="str">
        <f>Source!E223</f>
        <v>32,15</v>
      </c>
      <c r="B367" s="21" t="str">
        <f>Source!F223</f>
        <v>Цена поставщика</v>
      </c>
      <c r="C367" s="21" t="s">
        <v>711</v>
      </c>
      <c r="D367" s="22" t="str">
        <f>Source!DW223</f>
        <v>шт.</v>
      </c>
      <c r="E367" s="9">
        <f>Source!I223</f>
        <v>1</v>
      </c>
      <c r="F367" s="24">
        <f>Source!AK223</f>
        <v>29916.67</v>
      </c>
      <c r="G367" s="34" t="s">
        <v>3</v>
      </c>
      <c r="H367" s="9">
        <f>Source!AW223</f>
        <v>1</v>
      </c>
      <c r="I367" s="9">
        <f>IF(Source!BC223&lt;&gt; 0, Source!BC223, 1)</f>
        <v>1</v>
      </c>
      <c r="J367" s="25">
        <f>Source!O223</f>
        <v>29916.67</v>
      </c>
      <c r="K367" s="25"/>
      <c r="Q367">
        <f>ROUND((Source!BZ223/100)*ROUND((Source!AF223*Source!AV223)*Source!I223, 2), 2)</f>
        <v>0</v>
      </c>
      <c r="R367">
        <f>Source!X223</f>
        <v>0</v>
      </c>
      <c r="S367">
        <f>ROUND((Source!CA223/100)*ROUND((Source!AF223*Source!AV223)*Source!I223, 2), 2)</f>
        <v>0</v>
      </c>
      <c r="T367">
        <f>Source!Y223</f>
        <v>0</v>
      </c>
      <c r="U367">
        <f>ROUND((175/100)*ROUND((Source!AE223*Source!AV223)*Source!I223, 2), 2)</f>
        <v>0</v>
      </c>
      <c r="V367">
        <f>ROUND((108/100)*ROUND(Source!CS223*Source!I223, 2), 2)</f>
        <v>0</v>
      </c>
    </row>
    <row r="368" spans="1:22" ht="42.75" x14ac:dyDescent="0.2">
      <c r="A368" s="20" t="str">
        <f>Source!E224</f>
        <v>32,16</v>
      </c>
      <c r="B368" s="21" t="str">
        <f>Source!F224</f>
        <v>Цена поставщика</v>
      </c>
      <c r="C368" s="21" t="s">
        <v>712</v>
      </c>
      <c r="D368" s="22" t="str">
        <f>Source!DW224</f>
        <v>шт.</v>
      </c>
      <c r="E368" s="9">
        <f>Source!I224</f>
        <v>1</v>
      </c>
      <c r="F368" s="24">
        <f>Source!AK224</f>
        <v>33125</v>
      </c>
      <c r="G368" s="34" t="s">
        <v>3</v>
      </c>
      <c r="H368" s="9">
        <f>Source!AW224</f>
        <v>1</v>
      </c>
      <c r="I368" s="9">
        <f>IF(Source!BC224&lt;&gt; 0, Source!BC224, 1)</f>
        <v>1</v>
      </c>
      <c r="J368" s="25">
        <f>Source!O224</f>
        <v>33125</v>
      </c>
      <c r="K368" s="25"/>
      <c r="Q368">
        <f>ROUND((Source!BZ224/100)*ROUND((Source!AF224*Source!AV224)*Source!I224, 2), 2)</f>
        <v>0</v>
      </c>
      <c r="R368">
        <f>Source!X224</f>
        <v>0</v>
      </c>
      <c r="S368">
        <f>ROUND((Source!CA224/100)*ROUND((Source!AF224*Source!AV224)*Source!I224, 2), 2)</f>
        <v>0</v>
      </c>
      <c r="T368">
        <f>Source!Y224</f>
        <v>0</v>
      </c>
      <c r="U368">
        <f>ROUND((175/100)*ROUND((Source!AE224*Source!AV224)*Source!I224, 2), 2)</f>
        <v>0</v>
      </c>
      <c r="V368">
        <f>ROUND((108/100)*ROUND(Source!CS224*Source!I224, 2), 2)</f>
        <v>0</v>
      </c>
    </row>
    <row r="369" spans="1:22" ht="42.75" x14ac:dyDescent="0.2">
      <c r="A369" s="20" t="str">
        <f>Source!E225</f>
        <v>32,17</v>
      </c>
      <c r="B369" s="21" t="str">
        <f>Source!F225</f>
        <v>Цена поставщика</v>
      </c>
      <c r="C369" s="21" t="s">
        <v>713</v>
      </c>
      <c r="D369" s="22" t="str">
        <f>Source!DW225</f>
        <v>шт.</v>
      </c>
      <c r="E369" s="9">
        <f>Source!I225</f>
        <v>1</v>
      </c>
      <c r="F369" s="24">
        <f>Source!AK225</f>
        <v>28541.67</v>
      </c>
      <c r="G369" s="34" t="s">
        <v>3</v>
      </c>
      <c r="H369" s="9">
        <f>Source!AW225</f>
        <v>1</v>
      </c>
      <c r="I369" s="9">
        <f>IF(Source!BC225&lt;&gt; 0, Source!BC225, 1)</f>
        <v>1</v>
      </c>
      <c r="J369" s="25">
        <f>Source!O225</f>
        <v>28541.67</v>
      </c>
      <c r="K369" s="25"/>
      <c r="Q369">
        <f>ROUND((Source!BZ225/100)*ROUND((Source!AF225*Source!AV225)*Source!I225, 2), 2)</f>
        <v>0</v>
      </c>
      <c r="R369">
        <f>Source!X225</f>
        <v>0</v>
      </c>
      <c r="S369">
        <f>ROUND((Source!CA225/100)*ROUND((Source!AF225*Source!AV225)*Source!I225, 2), 2)</f>
        <v>0</v>
      </c>
      <c r="T369">
        <f>Source!Y225</f>
        <v>0</v>
      </c>
      <c r="U369">
        <f>ROUND((175/100)*ROUND((Source!AE225*Source!AV225)*Source!I225, 2), 2)</f>
        <v>0</v>
      </c>
      <c r="V369">
        <f>ROUND((108/100)*ROUND(Source!CS225*Source!I225, 2), 2)</f>
        <v>0</v>
      </c>
    </row>
    <row r="370" spans="1:22" ht="42.75" x14ac:dyDescent="0.2">
      <c r="A370" s="20" t="str">
        <f>Source!E226</f>
        <v>32,18</v>
      </c>
      <c r="B370" s="21" t="str">
        <f>Source!F226</f>
        <v>Цена поставщика</v>
      </c>
      <c r="C370" s="21" t="s">
        <v>714</v>
      </c>
      <c r="D370" s="22" t="str">
        <f>Source!DW226</f>
        <v>шт.</v>
      </c>
      <c r="E370" s="9">
        <f>Source!I226</f>
        <v>1</v>
      </c>
      <c r="F370" s="24">
        <f>Source!AK226</f>
        <v>10416.67</v>
      </c>
      <c r="G370" s="34" t="s">
        <v>3</v>
      </c>
      <c r="H370" s="9">
        <f>Source!AW226</f>
        <v>1</v>
      </c>
      <c r="I370" s="9">
        <f>IF(Source!BC226&lt;&gt; 0, Source!BC226, 1)</f>
        <v>1</v>
      </c>
      <c r="J370" s="25">
        <f>Source!O226</f>
        <v>10416.67</v>
      </c>
      <c r="K370" s="25"/>
      <c r="Q370">
        <f>ROUND((Source!BZ226/100)*ROUND((Source!AF226*Source!AV226)*Source!I226, 2), 2)</f>
        <v>0</v>
      </c>
      <c r="R370">
        <f>Source!X226</f>
        <v>0</v>
      </c>
      <c r="S370">
        <f>ROUND((Source!CA226/100)*ROUND((Source!AF226*Source!AV226)*Source!I226, 2), 2)</f>
        <v>0</v>
      </c>
      <c r="T370">
        <f>Source!Y226</f>
        <v>0</v>
      </c>
      <c r="U370">
        <f>ROUND((175/100)*ROUND((Source!AE226*Source!AV226)*Source!I226, 2), 2)</f>
        <v>0</v>
      </c>
      <c r="V370">
        <f>ROUND((108/100)*ROUND(Source!CS226*Source!I226, 2), 2)</f>
        <v>0</v>
      </c>
    </row>
    <row r="371" spans="1:22" ht="42.75" x14ac:dyDescent="0.2">
      <c r="A371" s="20" t="str">
        <f>Source!E227</f>
        <v>32,19</v>
      </c>
      <c r="B371" s="21" t="str">
        <f>Source!F227</f>
        <v>Цена поставщика</v>
      </c>
      <c r="C371" s="21" t="s">
        <v>715</v>
      </c>
      <c r="D371" s="22" t="str">
        <f>Source!DW227</f>
        <v>шт.</v>
      </c>
      <c r="E371" s="9">
        <f>Source!I227</f>
        <v>1</v>
      </c>
      <c r="F371" s="24">
        <f>Source!AK227</f>
        <v>10416.67</v>
      </c>
      <c r="G371" s="34" t="s">
        <v>3</v>
      </c>
      <c r="H371" s="9">
        <f>Source!AW227</f>
        <v>1</v>
      </c>
      <c r="I371" s="9">
        <f>IF(Source!BC227&lt;&gt; 0, Source!BC227, 1)</f>
        <v>1</v>
      </c>
      <c r="J371" s="25">
        <f>Source!O227</f>
        <v>10416.67</v>
      </c>
      <c r="K371" s="25"/>
      <c r="Q371">
        <f>ROUND((Source!BZ227/100)*ROUND((Source!AF227*Source!AV227)*Source!I227, 2), 2)</f>
        <v>0</v>
      </c>
      <c r="R371">
        <f>Source!X227</f>
        <v>0</v>
      </c>
      <c r="S371">
        <f>ROUND((Source!CA227/100)*ROUND((Source!AF227*Source!AV227)*Source!I227, 2), 2)</f>
        <v>0</v>
      </c>
      <c r="T371">
        <f>Source!Y227</f>
        <v>0</v>
      </c>
      <c r="U371">
        <f>ROUND((175/100)*ROUND((Source!AE227*Source!AV227)*Source!I227, 2), 2)</f>
        <v>0</v>
      </c>
      <c r="V371">
        <f>ROUND((108/100)*ROUND(Source!CS227*Source!I227, 2), 2)</f>
        <v>0</v>
      </c>
    </row>
    <row r="372" spans="1:22" ht="54" x14ac:dyDescent="0.2">
      <c r="A372" s="20" t="str">
        <f>Source!E228</f>
        <v>32,20</v>
      </c>
      <c r="B372" s="21" t="str">
        <f>Source!F228</f>
        <v>Цена поставщика</v>
      </c>
      <c r="C372" s="21" t="s">
        <v>716</v>
      </c>
      <c r="D372" s="22" t="str">
        <f>Source!DW228</f>
        <v>шт.</v>
      </c>
      <c r="E372" s="9">
        <f>Source!I228</f>
        <v>2</v>
      </c>
      <c r="F372" s="24">
        <f>Source!AK228</f>
        <v>11458.33</v>
      </c>
      <c r="G372" s="34" t="s">
        <v>3</v>
      </c>
      <c r="H372" s="9">
        <f>Source!AW228</f>
        <v>1</v>
      </c>
      <c r="I372" s="9">
        <f>IF(Source!BC228&lt;&gt; 0, Source!BC228, 1)</f>
        <v>1</v>
      </c>
      <c r="J372" s="25">
        <f>Source!O228</f>
        <v>22916.66</v>
      </c>
      <c r="K372" s="25"/>
      <c r="Q372">
        <f>ROUND((Source!BZ228/100)*ROUND((Source!AF228*Source!AV228)*Source!I228, 2), 2)</f>
        <v>0</v>
      </c>
      <c r="R372">
        <f>Source!X228</f>
        <v>0</v>
      </c>
      <c r="S372">
        <f>ROUND((Source!CA228/100)*ROUND((Source!AF228*Source!AV228)*Source!I228, 2), 2)</f>
        <v>0</v>
      </c>
      <c r="T372">
        <f>Source!Y228</f>
        <v>0</v>
      </c>
      <c r="U372">
        <f>ROUND((175/100)*ROUND((Source!AE228*Source!AV228)*Source!I228, 2), 2)</f>
        <v>0</v>
      </c>
      <c r="V372">
        <f>ROUND((108/100)*ROUND(Source!CS228*Source!I228, 2), 2)</f>
        <v>0</v>
      </c>
    </row>
    <row r="373" spans="1:22" ht="14.25" x14ac:dyDescent="0.2">
      <c r="A373" s="20"/>
      <c r="B373" s="21"/>
      <c r="C373" s="21" t="s">
        <v>688</v>
      </c>
      <c r="D373" s="22" t="s">
        <v>689</v>
      </c>
      <c r="E373" s="9">
        <f>Source!AT208</f>
        <v>70</v>
      </c>
      <c r="F373" s="24"/>
      <c r="G373" s="23"/>
      <c r="H373" s="9"/>
      <c r="I373" s="9"/>
      <c r="J373" s="25">
        <f>SUM(R348:R372)</f>
        <v>40932.959999999999</v>
      </c>
      <c r="K373" s="25"/>
    </row>
    <row r="374" spans="1:22" ht="14.25" x14ac:dyDescent="0.2">
      <c r="A374" s="20"/>
      <c r="B374" s="21"/>
      <c r="C374" s="21" t="s">
        <v>690</v>
      </c>
      <c r="D374" s="22" t="s">
        <v>689</v>
      </c>
      <c r="E374" s="9">
        <f>Source!AU208</f>
        <v>10</v>
      </c>
      <c r="F374" s="24"/>
      <c r="G374" s="23"/>
      <c r="H374" s="9"/>
      <c r="I374" s="9"/>
      <c r="J374" s="25">
        <f>SUM(T348:T373)</f>
        <v>5847.57</v>
      </c>
      <c r="K374" s="25"/>
    </row>
    <row r="375" spans="1:22" ht="14.25" x14ac:dyDescent="0.2">
      <c r="A375" s="20"/>
      <c r="B375" s="21"/>
      <c r="C375" s="21" t="s">
        <v>691</v>
      </c>
      <c r="D375" s="22" t="s">
        <v>689</v>
      </c>
      <c r="E375" s="9">
        <f>108</f>
        <v>108</v>
      </c>
      <c r="F375" s="24"/>
      <c r="G375" s="23"/>
      <c r="H375" s="9"/>
      <c r="I375" s="9"/>
      <c r="J375" s="25">
        <f>SUM(V348:V374)</f>
        <v>72.03</v>
      </c>
      <c r="K375" s="25"/>
    </row>
    <row r="376" spans="1:22" ht="14.25" x14ac:dyDescent="0.2">
      <c r="A376" s="20"/>
      <c r="B376" s="21"/>
      <c r="C376" s="21" t="s">
        <v>692</v>
      </c>
      <c r="D376" s="22" t="s">
        <v>693</v>
      </c>
      <c r="E376" s="9">
        <f>Source!AQ208</f>
        <v>87.4</v>
      </c>
      <c r="F376" s="24"/>
      <c r="G376" s="23" t="str">
        <f>Source!DI208</f>
        <v/>
      </c>
      <c r="H376" s="9">
        <f>Source!AV208</f>
        <v>1</v>
      </c>
      <c r="I376" s="9"/>
      <c r="J376" s="25"/>
      <c r="K376" s="25">
        <f>Source!U208</f>
        <v>227.24</v>
      </c>
    </row>
    <row r="377" spans="1:22" ht="15" x14ac:dyDescent="0.25">
      <c r="A377" s="30"/>
      <c r="B377" s="30"/>
      <c r="C377" s="30"/>
      <c r="D377" s="30"/>
      <c r="E377" s="30"/>
      <c r="F377" s="30"/>
      <c r="G377" s="30"/>
      <c r="H377" s="30"/>
      <c r="I377" s="65">
        <f>J349+J350+J352+J373+J374+J375+SUM(J353:J372)</f>
        <v>828691.86</v>
      </c>
      <c r="J377" s="65"/>
      <c r="K377" s="31">
        <f>IF(Source!I208&lt;&gt;0, ROUND(I377/Source!I208, 2), 0)</f>
        <v>318727.64</v>
      </c>
      <c r="P377" s="28">
        <f>I377</f>
        <v>828691.86</v>
      </c>
    </row>
    <row r="379" spans="1:22" ht="15" x14ac:dyDescent="0.25">
      <c r="A379" s="69" t="str">
        <f>CONCATENATE("Итого по подразделу: ",IF(Source!G230&lt;&gt;"Новый подраздел", Source!G230, ""))</f>
        <v>Итого по подразделу: Строительные работы</v>
      </c>
      <c r="B379" s="69"/>
      <c r="C379" s="69"/>
      <c r="D379" s="69"/>
      <c r="E379" s="69"/>
      <c r="F379" s="69"/>
      <c r="G379" s="69"/>
      <c r="H379" s="69"/>
      <c r="I379" s="66">
        <f>SUM(P269:P378)</f>
        <v>1855869.7000000002</v>
      </c>
      <c r="J379" s="67"/>
      <c r="K379" s="33"/>
    </row>
    <row r="382" spans="1:22" ht="15" x14ac:dyDescent="0.25">
      <c r="A382" s="69" t="str">
        <f>CONCATENATE("Итого по разделу: ",IF(Source!G260&lt;&gt;"Новый раздел", Source!G260, ""))</f>
        <v>Итого по разделу: Игровые и спортивные площадки</v>
      </c>
      <c r="B382" s="69"/>
      <c r="C382" s="69"/>
      <c r="D382" s="69"/>
      <c r="E382" s="69"/>
      <c r="F382" s="69"/>
      <c r="G382" s="69"/>
      <c r="H382" s="69"/>
      <c r="I382" s="66">
        <f>SUM(P252:P381)</f>
        <v>1873953.6400000001</v>
      </c>
      <c r="J382" s="67"/>
      <c r="K382" s="33"/>
    </row>
    <row r="385" spans="1:22" ht="16.5" x14ac:dyDescent="0.25">
      <c r="A385" s="68" t="str">
        <f>CONCATENATE("Раздел: ",IF(Source!G290&lt;&gt;"Новый раздел", Source!G290, ""))</f>
        <v>Раздел: Контейнерная площадка</v>
      </c>
      <c r="B385" s="68"/>
      <c r="C385" s="68"/>
      <c r="D385" s="68"/>
      <c r="E385" s="68"/>
      <c r="F385" s="68"/>
      <c r="G385" s="68"/>
      <c r="H385" s="68"/>
      <c r="I385" s="68"/>
      <c r="J385" s="68"/>
      <c r="K385" s="68"/>
    </row>
    <row r="387" spans="1:22" ht="16.5" x14ac:dyDescent="0.25">
      <c r="A387" s="68" t="str">
        <f>CONCATENATE("Подраздел: ",IF(Source!G294&lt;&gt;"Новый подраздел", Source!G294, ""))</f>
        <v>Подраздел: Демонтажные работы</v>
      </c>
      <c r="B387" s="68"/>
      <c r="C387" s="68"/>
      <c r="D387" s="68"/>
      <c r="E387" s="68"/>
      <c r="F387" s="68"/>
      <c r="G387" s="68"/>
      <c r="H387" s="68"/>
      <c r="I387" s="68"/>
      <c r="J387" s="68"/>
      <c r="K387" s="68"/>
    </row>
    <row r="388" spans="1:22" ht="170.25" x14ac:dyDescent="0.2">
      <c r="A388" s="20" t="str">
        <f>Source!E298</f>
        <v>33</v>
      </c>
      <c r="B388" s="21" t="s">
        <v>683</v>
      </c>
      <c r="C388" s="21" t="s">
        <v>684</v>
      </c>
      <c r="D388" s="22" t="str">
        <f>Source!DW298</f>
        <v>100 м2</v>
      </c>
      <c r="E388" s="9">
        <f>Source!I298</f>
        <v>7.4999999999999997E-2</v>
      </c>
      <c r="F388" s="24"/>
      <c r="G388" s="23"/>
      <c r="H388" s="9"/>
      <c r="I388" s="9"/>
      <c r="J388" s="25"/>
      <c r="K388" s="25"/>
      <c r="Q388">
        <f>ROUND((Source!BZ298/100)*ROUND((Source!AF298*Source!AV298)*Source!I298, 2), 2)</f>
        <v>98.51</v>
      </c>
      <c r="R388">
        <f>Source!X298</f>
        <v>98.51</v>
      </c>
      <c r="S388">
        <f>ROUND((Source!CA298/100)*ROUND((Source!AF298*Source!AV298)*Source!I298, 2), 2)</f>
        <v>14.07</v>
      </c>
      <c r="T388">
        <f>Source!Y298</f>
        <v>14.07</v>
      </c>
      <c r="U388">
        <f>ROUND((175/100)*ROUND((Source!AE298*Source!AV298)*Source!I298, 2), 2)</f>
        <v>0.09</v>
      </c>
      <c r="V388">
        <f>ROUND((108/100)*ROUND(Source!CS298*Source!I298, 2), 2)</f>
        <v>0.05</v>
      </c>
    </row>
    <row r="389" spans="1:22" x14ac:dyDescent="0.2">
      <c r="C389" s="26" t="str">
        <f>"Объем: "&amp;Source!I298&amp;"=7,5/"&amp;"100"</f>
        <v>Объем: 0,075=7,5/100</v>
      </c>
    </row>
    <row r="390" spans="1:22" ht="14.25" x14ac:dyDescent="0.2">
      <c r="A390" s="20"/>
      <c r="B390" s="21"/>
      <c r="C390" s="21" t="s">
        <v>685</v>
      </c>
      <c r="D390" s="22"/>
      <c r="E390" s="9"/>
      <c r="F390" s="24">
        <f>Source!AO298</f>
        <v>9382.25</v>
      </c>
      <c r="G390" s="23" t="str">
        <f>Source!DG298</f>
        <v>)*0,2</v>
      </c>
      <c r="H390" s="9">
        <f>Source!AV298</f>
        <v>1</v>
      </c>
      <c r="I390" s="9">
        <f>IF(Source!BA298&lt;&gt; 0, Source!BA298, 1)</f>
        <v>1</v>
      </c>
      <c r="J390" s="25">
        <f>Source!S298</f>
        <v>140.72999999999999</v>
      </c>
      <c r="K390" s="25"/>
    </row>
    <row r="391" spans="1:22" ht="14.25" x14ac:dyDescent="0.2">
      <c r="A391" s="20"/>
      <c r="B391" s="21"/>
      <c r="C391" s="21" t="s">
        <v>686</v>
      </c>
      <c r="D391" s="22"/>
      <c r="E391" s="9"/>
      <c r="F391" s="24">
        <f>Source!AM298</f>
        <v>31.83</v>
      </c>
      <c r="G391" s="23" t="str">
        <f>Source!DE298</f>
        <v>)*0,2</v>
      </c>
      <c r="H391" s="9">
        <f>Source!AV298</f>
        <v>1</v>
      </c>
      <c r="I391" s="9">
        <f>IF(Source!BB298&lt;&gt; 0, Source!BB298, 1)</f>
        <v>1</v>
      </c>
      <c r="J391" s="25">
        <f>Source!Q298</f>
        <v>0.48</v>
      </c>
      <c r="K391" s="25"/>
    </row>
    <row r="392" spans="1:22" ht="14.25" x14ac:dyDescent="0.2">
      <c r="A392" s="20"/>
      <c r="B392" s="21"/>
      <c r="C392" s="21" t="s">
        <v>687</v>
      </c>
      <c r="D392" s="22"/>
      <c r="E392" s="9"/>
      <c r="F392" s="24">
        <f>Source!AN298</f>
        <v>3.42</v>
      </c>
      <c r="G392" s="23" t="str">
        <f>Source!DF298</f>
        <v>)*0,2</v>
      </c>
      <c r="H392" s="9">
        <f>Source!AV298</f>
        <v>1</v>
      </c>
      <c r="I392" s="9">
        <f>IF(Source!BS298&lt;&gt; 0, Source!BS298, 1)</f>
        <v>1</v>
      </c>
      <c r="J392" s="27">
        <f>Source!R298</f>
        <v>0.05</v>
      </c>
      <c r="K392" s="25"/>
    </row>
    <row r="393" spans="1:22" ht="14.25" x14ac:dyDescent="0.2">
      <c r="A393" s="20"/>
      <c r="B393" s="21"/>
      <c r="C393" s="21" t="s">
        <v>688</v>
      </c>
      <c r="D393" s="22" t="s">
        <v>689</v>
      </c>
      <c r="E393" s="9">
        <f>Source!AT298</f>
        <v>70</v>
      </c>
      <c r="F393" s="24"/>
      <c r="G393" s="23"/>
      <c r="H393" s="9"/>
      <c r="I393" s="9"/>
      <c r="J393" s="25">
        <f>SUM(R388:R392)</f>
        <v>98.51</v>
      </c>
      <c r="K393" s="25"/>
    </row>
    <row r="394" spans="1:22" ht="14.25" x14ac:dyDescent="0.2">
      <c r="A394" s="20"/>
      <c r="B394" s="21"/>
      <c r="C394" s="21" t="s">
        <v>690</v>
      </c>
      <c r="D394" s="22" t="s">
        <v>689</v>
      </c>
      <c r="E394" s="9">
        <f>Source!AU298</f>
        <v>10</v>
      </c>
      <c r="F394" s="24"/>
      <c r="G394" s="23"/>
      <c r="H394" s="9"/>
      <c r="I394" s="9"/>
      <c r="J394" s="25">
        <f>SUM(T388:T393)</f>
        <v>14.07</v>
      </c>
      <c r="K394" s="25"/>
    </row>
    <row r="395" spans="1:22" ht="14.25" x14ac:dyDescent="0.2">
      <c r="A395" s="20"/>
      <c r="B395" s="21"/>
      <c r="C395" s="21" t="s">
        <v>691</v>
      </c>
      <c r="D395" s="22" t="s">
        <v>689</v>
      </c>
      <c r="E395" s="9">
        <f>108</f>
        <v>108</v>
      </c>
      <c r="F395" s="24"/>
      <c r="G395" s="23"/>
      <c r="H395" s="9"/>
      <c r="I395" s="9"/>
      <c r="J395" s="25">
        <f>SUM(V388:V394)</f>
        <v>0.05</v>
      </c>
      <c r="K395" s="25"/>
    </row>
    <row r="396" spans="1:22" ht="14.25" x14ac:dyDescent="0.2">
      <c r="A396" s="20"/>
      <c r="B396" s="21"/>
      <c r="C396" s="21" t="s">
        <v>692</v>
      </c>
      <c r="D396" s="22" t="s">
        <v>693</v>
      </c>
      <c r="E396" s="9">
        <f>Source!AQ298</f>
        <v>36.46</v>
      </c>
      <c r="F396" s="24"/>
      <c r="G396" s="23" t="str">
        <f>Source!DI298</f>
        <v>)*0,2</v>
      </c>
      <c r="H396" s="9">
        <f>Source!AV298</f>
        <v>1</v>
      </c>
      <c r="I396" s="9"/>
      <c r="J396" s="25"/>
      <c r="K396" s="25">
        <f>Source!U298</f>
        <v>0.54690000000000005</v>
      </c>
    </row>
    <row r="397" spans="1:22" ht="15" x14ac:dyDescent="0.25">
      <c r="A397" s="30"/>
      <c r="B397" s="30"/>
      <c r="C397" s="30"/>
      <c r="D397" s="30"/>
      <c r="E397" s="30"/>
      <c r="F397" s="30"/>
      <c r="G397" s="30"/>
      <c r="H397" s="30"/>
      <c r="I397" s="65">
        <f>J390+J391+J393+J394+J395</f>
        <v>253.83999999999997</v>
      </c>
      <c r="J397" s="65"/>
      <c r="K397" s="31">
        <f>IF(Source!I298&lt;&gt;0, ROUND(I397/Source!I298, 2), 0)</f>
        <v>3384.53</v>
      </c>
      <c r="P397" s="28">
        <f>I397</f>
        <v>253.83999999999997</v>
      </c>
    </row>
    <row r="398" spans="1:22" ht="156" x14ac:dyDescent="0.2">
      <c r="A398" s="20" t="str">
        <f>Source!E299</f>
        <v>34</v>
      </c>
      <c r="B398" s="21" t="s">
        <v>717</v>
      </c>
      <c r="C398" s="21" t="s">
        <v>718</v>
      </c>
      <c r="D398" s="22" t="str">
        <f>Source!DW299</f>
        <v>т</v>
      </c>
      <c r="E398" s="9">
        <f>Source!I299</f>
        <v>0.05</v>
      </c>
      <c r="F398" s="24"/>
      <c r="G398" s="23"/>
      <c r="H398" s="9"/>
      <c r="I398" s="9"/>
      <c r="J398" s="25"/>
      <c r="K398" s="25"/>
      <c r="Q398">
        <f>ROUND((Source!BZ299/100)*ROUND((Source!AF299*Source!AV299)*Source!I299, 2), 2)</f>
        <v>198.86</v>
      </c>
      <c r="R398">
        <f>Source!X299</f>
        <v>198.86</v>
      </c>
      <c r="S398">
        <f>ROUND((Source!CA299/100)*ROUND((Source!AF299*Source!AV299)*Source!I299, 2), 2)</f>
        <v>28.41</v>
      </c>
      <c r="T398">
        <f>Source!Y299</f>
        <v>28.41</v>
      </c>
      <c r="U398">
        <f>ROUND((175/100)*ROUND((Source!AE299*Source!AV299)*Source!I299, 2), 2)</f>
        <v>0.56000000000000005</v>
      </c>
      <c r="V398">
        <f>ROUND((108/100)*ROUND(Source!CS299*Source!I299, 2), 2)</f>
        <v>0.35</v>
      </c>
    </row>
    <row r="399" spans="1:22" ht="14.25" x14ac:dyDescent="0.2">
      <c r="A399" s="20"/>
      <c r="B399" s="21"/>
      <c r="C399" s="21" t="s">
        <v>685</v>
      </c>
      <c r="D399" s="22"/>
      <c r="E399" s="9"/>
      <c r="F399" s="24">
        <f>Source!AO299</f>
        <v>28409.23</v>
      </c>
      <c r="G399" s="23" t="str">
        <f>Source!DG299</f>
        <v>)*0,2</v>
      </c>
      <c r="H399" s="9">
        <f>Source!AV299</f>
        <v>1</v>
      </c>
      <c r="I399" s="9">
        <f>IF(Source!BA299&lt;&gt; 0, Source!BA299, 1)</f>
        <v>1</v>
      </c>
      <c r="J399" s="25">
        <f>Source!S299</f>
        <v>284.08999999999997</v>
      </c>
      <c r="K399" s="25"/>
    </row>
    <row r="400" spans="1:22" ht="14.25" x14ac:dyDescent="0.2">
      <c r="A400" s="20"/>
      <c r="B400" s="21"/>
      <c r="C400" s="21" t="s">
        <v>686</v>
      </c>
      <c r="D400" s="22"/>
      <c r="E400" s="9"/>
      <c r="F400" s="24">
        <f>Source!AM299</f>
        <v>744</v>
      </c>
      <c r="G400" s="23" t="str">
        <f>Source!DE299</f>
        <v>)*0,2</v>
      </c>
      <c r="H400" s="9">
        <f>Source!AV299</f>
        <v>1</v>
      </c>
      <c r="I400" s="9">
        <f>IF(Source!BB299&lt;&gt; 0, Source!BB299, 1)</f>
        <v>1</v>
      </c>
      <c r="J400" s="25">
        <f>Source!Q299</f>
        <v>7.44</v>
      </c>
      <c r="K400" s="25"/>
    </row>
    <row r="401" spans="1:22" ht="14.25" x14ac:dyDescent="0.2">
      <c r="A401" s="20"/>
      <c r="B401" s="21"/>
      <c r="C401" s="21" t="s">
        <v>687</v>
      </c>
      <c r="D401" s="22"/>
      <c r="E401" s="9"/>
      <c r="F401" s="24">
        <f>Source!AN299</f>
        <v>32.4</v>
      </c>
      <c r="G401" s="23" t="str">
        <f>Source!DF299</f>
        <v>)*0,2</v>
      </c>
      <c r="H401" s="9">
        <f>Source!AV299</f>
        <v>1</v>
      </c>
      <c r="I401" s="9">
        <f>IF(Source!BS299&lt;&gt; 0, Source!BS299, 1)</f>
        <v>1</v>
      </c>
      <c r="J401" s="27">
        <f>Source!R299</f>
        <v>0.32</v>
      </c>
      <c r="K401" s="25"/>
    </row>
    <row r="402" spans="1:22" ht="14.25" x14ac:dyDescent="0.2">
      <c r="A402" s="20"/>
      <c r="B402" s="21"/>
      <c r="C402" s="21" t="s">
        <v>688</v>
      </c>
      <c r="D402" s="22" t="s">
        <v>689</v>
      </c>
      <c r="E402" s="9">
        <f>Source!AT299</f>
        <v>70</v>
      </c>
      <c r="F402" s="24"/>
      <c r="G402" s="23"/>
      <c r="H402" s="9"/>
      <c r="I402" s="9"/>
      <c r="J402" s="25">
        <f>SUM(R398:R401)</f>
        <v>198.86</v>
      </c>
      <c r="K402" s="25"/>
    </row>
    <row r="403" spans="1:22" ht="14.25" x14ac:dyDescent="0.2">
      <c r="A403" s="20"/>
      <c r="B403" s="21"/>
      <c r="C403" s="21" t="s">
        <v>690</v>
      </c>
      <c r="D403" s="22" t="s">
        <v>689</v>
      </c>
      <c r="E403" s="9">
        <f>Source!AU299</f>
        <v>10</v>
      </c>
      <c r="F403" s="24"/>
      <c r="G403" s="23"/>
      <c r="H403" s="9"/>
      <c r="I403" s="9"/>
      <c r="J403" s="25">
        <f>SUM(T398:T402)</f>
        <v>28.41</v>
      </c>
      <c r="K403" s="25"/>
    </row>
    <row r="404" spans="1:22" ht="14.25" x14ac:dyDescent="0.2">
      <c r="A404" s="20"/>
      <c r="B404" s="21"/>
      <c r="C404" s="21" t="s">
        <v>691</v>
      </c>
      <c r="D404" s="22" t="s">
        <v>689</v>
      </c>
      <c r="E404" s="9">
        <f>108</f>
        <v>108</v>
      </c>
      <c r="F404" s="24"/>
      <c r="G404" s="23"/>
      <c r="H404" s="9"/>
      <c r="I404" s="9"/>
      <c r="J404" s="25">
        <f>SUM(V398:V403)</f>
        <v>0.35</v>
      </c>
      <c r="K404" s="25"/>
    </row>
    <row r="405" spans="1:22" ht="14.25" x14ac:dyDescent="0.2">
      <c r="A405" s="20"/>
      <c r="B405" s="21"/>
      <c r="C405" s="21" t="s">
        <v>692</v>
      </c>
      <c r="D405" s="22" t="s">
        <v>693</v>
      </c>
      <c r="E405" s="9">
        <f>Source!AQ299</f>
        <v>110.4</v>
      </c>
      <c r="F405" s="24"/>
      <c r="G405" s="23" t="str">
        <f>Source!DI299</f>
        <v>)*0,2</v>
      </c>
      <c r="H405" s="9">
        <f>Source!AV299</f>
        <v>1</v>
      </c>
      <c r="I405" s="9"/>
      <c r="J405" s="25"/>
      <c r="K405" s="25">
        <f>Source!U299</f>
        <v>1.1040000000000001</v>
      </c>
    </row>
    <row r="406" spans="1:22" ht="15" x14ac:dyDescent="0.25">
      <c r="A406" s="30"/>
      <c r="B406" s="30"/>
      <c r="C406" s="30"/>
      <c r="D406" s="30"/>
      <c r="E406" s="30"/>
      <c r="F406" s="30"/>
      <c r="G406" s="30"/>
      <c r="H406" s="30"/>
      <c r="I406" s="65">
        <f>J399+J400+J402+J403+J404</f>
        <v>519.15</v>
      </c>
      <c r="J406" s="65"/>
      <c r="K406" s="31">
        <f>IF(Source!I299&lt;&gt;0, ROUND(I406/Source!I299, 2), 0)</f>
        <v>10383</v>
      </c>
      <c r="P406" s="28">
        <f>I406</f>
        <v>519.15</v>
      </c>
    </row>
    <row r="407" spans="1:22" ht="28.5" x14ac:dyDescent="0.2">
      <c r="A407" s="20" t="str">
        <f>Source!E300</f>
        <v>35</v>
      </c>
      <c r="B407" s="21" t="str">
        <f>Source!F300</f>
        <v>1.11-3304-3-1/1</v>
      </c>
      <c r="C407" s="21" t="str">
        <f>Source!G300</f>
        <v>Демонтаж дверных металлических блоков</v>
      </c>
      <c r="D407" s="22" t="str">
        <f>Source!DW300</f>
        <v>т</v>
      </c>
      <c r="E407" s="9">
        <f>Source!I300</f>
        <v>0.05</v>
      </c>
      <c r="F407" s="24"/>
      <c r="G407" s="23"/>
      <c r="H407" s="9"/>
      <c r="I407" s="9"/>
      <c r="J407" s="25"/>
      <c r="K407" s="25"/>
      <c r="Q407">
        <f>ROUND((Source!BZ300/100)*ROUND((Source!AF300*Source!AV300)*Source!I300, 2), 2)</f>
        <v>281.79000000000002</v>
      </c>
      <c r="R407">
        <f>Source!X300</f>
        <v>281.79000000000002</v>
      </c>
      <c r="S407">
        <f>ROUND((Source!CA300/100)*ROUND((Source!AF300*Source!AV300)*Source!I300, 2), 2)</f>
        <v>40.26</v>
      </c>
      <c r="T407">
        <f>Source!Y300</f>
        <v>40.26</v>
      </c>
      <c r="U407">
        <f>ROUND((175/100)*ROUND((Source!AE300*Source!AV300)*Source!I300, 2), 2)</f>
        <v>0.14000000000000001</v>
      </c>
      <c r="V407">
        <f>ROUND((108/100)*ROUND(Source!CS300*Source!I300, 2), 2)</f>
        <v>0.09</v>
      </c>
    </row>
    <row r="408" spans="1:22" ht="14.25" x14ac:dyDescent="0.2">
      <c r="A408" s="20"/>
      <c r="B408" s="21"/>
      <c r="C408" s="21" t="s">
        <v>685</v>
      </c>
      <c r="D408" s="22"/>
      <c r="E408" s="9"/>
      <c r="F408" s="24">
        <f>Source!AO300</f>
        <v>8051.17</v>
      </c>
      <c r="G408" s="23" t="str">
        <f>Source!DG300</f>
        <v/>
      </c>
      <c r="H408" s="9">
        <f>Source!AV300</f>
        <v>1</v>
      </c>
      <c r="I408" s="9">
        <f>IF(Source!BA300&lt;&gt; 0, Source!BA300, 1)</f>
        <v>1</v>
      </c>
      <c r="J408" s="25">
        <f>Source!S300</f>
        <v>402.56</v>
      </c>
      <c r="K408" s="25"/>
    </row>
    <row r="409" spans="1:22" ht="14.25" x14ac:dyDescent="0.2">
      <c r="A409" s="20"/>
      <c r="B409" s="21"/>
      <c r="C409" s="21" t="s">
        <v>686</v>
      </c>
      <c r="D409" s="22"/>
      <c r="E409" s="9"/>
      <c r="F409" s="24">
        <f>Source!AM300</f>
        <v>94.69</v>
      </c>
      <c r="G409" s="23" t="str">
        <f>Source!DE300</f>
        <v/>
      </c>
      <c r="H409" s="9">
        <f>Source!AV300</f>
        <v>1</v>
      </c>
      <c r="I409" s="9">
        <f>IF(Source!BB300&lt;&gt; 0, Source!BB300, 1)</f>
        <v>1</v>
      </c>
      <c r="J409" s="25">
        <f>Source!Q300</f>
        <v>4.7300000000000004</v>
      </c>
      <c r="K409" s="25"/>
    </row>
    <row r="410" spans="1:22" ht="14.25" x14ac:dyDescent="0.2">
      <c r="A410" s="20"/>
      <c r="B410" s="21"/>
      <c r="C410" s="21" t="s">
        <v>687</v>
      </c>
      <c r="D410" s="22"/>
      <c r="E410" s="9"/>
      <c r="F410" s="24">
        <f>Source!AN300</f>
        <v>1.69</v>
      </c>
      <c r="G410" s="23" t="str">
        <f>Source!DF300</f>
        <v/>
      </c>
      <c r="H410" s="9">
        <f>Source!AV300</f>
        <v>1</v>
      </c>
      <c r="I410" s="9">
        <f>IF(Source!BS300&lt;&gt; 0, Source!BS300, 1)</f>
        <v>1</v>
      </c>
      <c r="J410" s="27">
        <f>Source!R300</f>
        <v>0.08</v>
      </c>
      <c r="K410" s="25"/>
    </row>
    <row r="411" spans="1:22" ht="14.25" x14ac:dyDescent="0.2">
      <c r="A411" s="20"/>
      <c r="B411" s="21"/>
      <c r="C411" s="21" t="s">
        <v>688</v>
      </c>
      <c r="D411" s="22" t="s">
        <v>689</v>
      </c>
      <c r="E411" s="9">
        <f>Source!AT300</f>
        <v>70</v>
      </c>
      <c r="F411" s="24"/>
      <c r="G411" s="23"/>
      <c r="H411" s="9"/>
      <c r="I411" s="9"/>
      <c r="J411" s="25">
        <f>SUM(R407:R410)</f>
        <v>281.79000000000002</v>
      </c>
      <c r="K411" s="25"/>
    </row>
    <row r="412" spans="1:22" ht="14.25" x14ac:dyDescent="0.2">
      <c r="A412" s="20"/>
      <c r="B412" s="21"/>
      <c r="C412" s="21" t="s">
        <v>690</v>
      </c>
      <c r="D412" s="22" t="s">
        <v>689</v>
      </c>
      <c r="E412" s="9">
        <f>Source!AU300</f>
        <v>10</v>
      </c>
      <c r="F412" s="24"/>
      <c r="G412" s="23"/>
      <c r="H412" s="9"/>
      <c r="I412" s="9"/>
      <c r="J412" s="25">
        <f>SUM(T407:T411)</f>
        <v>40.26</v>
      </c>
      <c r="K412" s="25"/>
    </row>
    <row r="413" spans="1:22" ht="14.25" x14ac:dyDescent="0.2">
      <c r="A413" s="20"/>
      <c r="B413" s="21"/>
      <c r="C413" s="21" t="s">
        <v>691</v>
      </c>
      <c r="D413" s="22" t="s">
        <v>689</v>
      </c>
      <c r="E413" s="9">
        <f>108</f>
        <v>108</v>
      </c>
      <c r="F413" s="24"/>
      <c r="G413" s="23"/>
      <c r="H413" s="9"/>
      <c r="I413" s="9"/>
      <c r="J413" s="25">
        <f>SUM(V407:V412)</f>
        <v>0.09</v>
      </c>
      <c r="K413" s="25"/>
    </row>
    <row r="414" spans="1:22" ht="14.25" x14ac:dyDescent="0.2">
      <c r="A414" s="20"/>
      <c r="B414" s="21"/>
      <c r="C414" s="21" t="s">
        <v>692</v>
      </c>
      <c r="D414" s="22" t="s">
        <v>693</v>
      </c>
      <c r="E414" s="9">
        <f>Source!AQ300</f>
        <v>38.979999999999997</v>
      </c>
      <c r="F414" s="24"/>
      <c r="G414" s="23" t="str">
        <f>Source!DI300</f>
        <v/>
      </c>
      <c r="H414" s="9">
        <f>Source!AV300</f>
        <v>1</v>
      </c>
      <c r="I414" s="9"/>
      <c r="J414" s="25"/>
      <c r="K414" s="25">
        <f>Source!U300</f>
        <v>1.9489999999999998</v>
      </c>
    </row>
    <row r="415" spans="1:22" ht="15" x14ac:dyDescent="0.25">
      <c r="A415" s="30"/>
      <c r="B415" s="30"/>
      <c r="C415" s="30"/>
      <c r="D415" s="30"/>
      <c r="E415" s="30"/>
      <c r="F415" s="30"/>
      <c r="G415" s="30"/>
      <c r="H415" s="30"/>
      <c r="I415" s="65">
        <f>J408+J409+J411+J412+J413</f>
        <v>729.43000000000006</v>
      </c>
      <c r="J415" s="65"/>
      <c r="K415" s="31">
        <f>IF(Source!I300&lt;&gt;0, ROUND(I415/Source!I300, 2), 0)</f>
        <v>14588.6</v>
      </c>
      <c r="P415" s="28">
        <f>I415</f>
        <v>729.43000000000006</v>
      </c>
    </row>
    <row r="416" spans="1:22" ht="28.5" x14ac:dyDescent="0.2">
      <c r="A416" s="20" t="str">
        <f>Source!E301</f>
        <v>36</v>
      </c>
      <c r="B416" s="21" t="str">
        <f>Source!F301</f>
        <v>1.5-3104-1-1/1</v>
      </c>
      <c r="C416" s="21" t="str">
        <f>Source!G301</f>
        <v>Разборка кладки стен из кирпича простых</v>
      </c>
      <c r="D416" s="22" t="str">
        <f>Source!DW301</f>
        <v>10 м3</v>
      </c>
      <c r="E416" s="9">
        <f>Source!I301</f>
        <v>0.185</v>
      </c>
      <c r="F416" s="24"/>
      <c r="G416" s="23"/>
      <c r="H416" s="9"/>
      <c r="I416" s="9"/>
      <c r="J416" s="25"/>
      <c r="K416" s="25"/>
      <c r="Q416">
        <f>ROUND((Source!BZ301/100)*ROUND((Source!AF301*Source!AV301)*Source!I301, 2), 2)</f>
        <v>4433.32</v>
      </c>
      <c r="R416">
        <f>Source!X301</f>
        <v>4433.32</v>
      </c>
      <c r="S416">
        <f>ROUND((Source!CA301/100)*ROUND((Source!AF301*Source!AV301)*Source!I301, 2), 2)</f>
        <v>633.33000000000004</v>
      </c>
      <c r="T416">
        <f>Source!Y301</f>
        <v>633.33000000000004</v>
      </c>
      <c r="U416">
        <f>ROUND((175/100)*ROUND((Source!AE301*Source!AV301)*Source!I301, 2), 2)</f>
        <v>3048.69</v>
      </c>
      <c r="V416">
        <f>ROUND((108/100)*ROUND(Source!CS301*Source!I301, 2), 2)</f>
        <v>1881.48</v>
      </c>
    </row>
    <row r="417" spans="1:22" x14ac:dyDescent="0.2">
      <c r="C417" s="26" t="str">
        <f>"Объем: "&amp;Source!I301&amp;"=1,85/"&amp;"10"</f>
        <v>Объем: 0,185=1,85/10</v>
      </c>
    </row>
    <row r="418" spans="1:22" ht="14.25" x14ac:dyDescent="0.2">
      <c r="A418" s="20"/>
      <c r="B418" s="21"/>
      <c r="C418" s="21" t="s">
        <v>685</v>
      </c>
      <c r="D418" s="22"/>
      <c r="E418" s="9"/>
      <c r="F418" s="24">
        <f>Source!AO301</f>
        <v>34234.120000000003</v>
      </c>
      <c r="G418" s="23" t="str">
        <f>Source!DG301</f>
        <v/>
      </c>
      <c r="H418" s="9">
        <f>Source!AV301</f>
        <v>1</v>
      </c>
      <c r="I418" s="9">
        <f>IF(Source!BA301&lt;&gt; 0, Source!BA301, 1)</f>
        <v>1</v>
      </c>
      <c r="J418" s="25">
        <f>Source!S301</f>
        <v>6333.31</v>
      </c>
      <c r="K418" s="25"/>
    </row>
    <row r="419" spans="1:22" ht="14.25" x14ac:dyDescent="0.2">
      <c r="A419" s="20"/>
      <c r="B419" s="21"/>
      <c r="C419" s="21" t="s">
        <v>686</v>
      </c>
      <c r="D419" s="22"/>
      <c r="E419" s="9"/>
      <c r="F419" s="24">
        <f>Source!AM301</f>
        <v>12548.25</v>
      </c>
      <c r="G419" s="23" t="str">
        <f>Source!DE301</f>
        <v/>
      </c>
      <c r="H419" s="9">
        <f>Source!AV301</f>
        <v>1</v>
      </c>
      <c r="I419" s="9">
        <f>IF(Source!BB301&lt;&gt; 0, Source!BB301, 1)</f>
        <v>1</v>
      </c>
      <c r="J419" s="25">
        <f>Source!Q301</f>
        <v>2321.4299999999998</v>
      </c>
      <c r="K419" s="25"/>
    </row>
    <row r="420" spans="1:22" ht="14.25" x14ac:dyDescent="0.2">
      <c r="A420" s="20"/>
      <c r="B420" s="21"/>
      <c r="C420" s="21" t="s">
        <v>687</v>
      </c>
      <c r="D420" s="22"/>
      <c r="E420" s="9"/>
      <c r="F420" s="24">
        <f>Source!AN301</f>
        <v>9416.83</v>
      </c>
      <c r="G420" s="23" t="str">
        <f>Source!DF301</f>
        <v/>
      </c>
      <c r="H420" s="9">
        <f>Source!AV301</f>
        <v>1</v>
      </c>
      <c r="I420" s="9">
        <f>IF(Source!BS301&lt;&gt; 0, Source!BS301, 1)</f>
        <v>1</v>
      </c>
      <c r="J420" s="27">
        <f>Source!R301</f>
        <v>1742.11</v>
      </c>
      <c r="K420" s="25"/>
    </row>
    <row r="421" spans="1:22" ht="14.25" x14ac:dyDescent="0.2">
      <c r="A421" s="20"/>
      <c r="B421" s="21"/>
      <c r="C421" s="21" t="s">
        <v>688</v>
      </c>
      <c r="D421" s="22" t="s">
        <v>689</v>
      </c>
      <c r="E421" s="9">
        <f>Source!AT301</f>
        <v>70</v>
      </c>
      <c r="F421" s="24"/>
      <c r="G421" s="23"/>
      <c r="H421" s="9"/>
      <c r="I421" s="9"/>
      <c r="J421" s="25">
        <f>SUM(R416:R420)</f>
        <v>4433.32</v>
      </c>
      <c r="K421" s="25"/>
    </row>
    <row r="422" spans="1:22" ht="14.25" x14ac:dyDescent="0.2">
      <c r="A422" s="20"/>
      <c r="B422" s="21"/>
      <c r="C422" s="21" t="s">
        <v>690</v>
      </c>
      <c r="D422" s="22" t="s">
        <v>689</v>
      </c>
      <c r="E422" s="9">
        <f>Source!AU301</f>
        <v>10</v>
      </c>
      <c r="F422" s="24"/>
      <c r="G422" s="23"/>
      <c r="H422" s="9"/>
      <c r="I422" s="9"/>
      <c r="J422" s="25">
        <f>SUM(T416:T421)</f>
        <v>633.33000000000004</v>
      </c>
      <c r="K422" s="25"/>
    </row>
    <row r="423" spans="1:22" ht="14.25" x14ac:dyDescent="0.2">
      <c r="A423" s="20"/>
      <c r="B423" s="21"/>
      <c r="C423" s="21" t="s">
        <v>691</v>
      </c>
      <c r="D423" s="22" t="s">
        <v>689</v>
      </c>
      <c r="E423" s="9">
        <f>108</f>
        <v>108</v>
      </c>
      <c r="F423" s="24"/>
      <c r="G423" s="23"/>
      <c r="H423" s="9"/>
      <c r="I423" s="9"/>
      <c r="J423" s="25">
        <f>SUM(V416:V422)</f>
        <v>1881.48</v>
      </c>
      <c r="K423" s="25"/>
    </row>
    <row r="424" spans="1:22" ht="14.25" x14ac:dyDescent="0.2">
      <c r="A424" s="20"/>
      <c r="B424" s="21"/>
      <c r="C424" s="21" t="s">
        <v>692</v>
      </c>
      <c r="D424" s="22" t="s">
        <v>693</v>
      </c>
      <c r="E424" s="9">
        <f>Source!AQ301</f>
        <v>212.41</v>
      </c>
      <c r="F424" s="24"/>
      <c r="G424" s="23" t="str">
        <f>Source!DI301</f>
        <v/>
      </c>
      <c r="H424" s="9">
        <f>Source!AV301</f>
        <v>1</v>
      </c>
      <c r="I424" s="9"/>
      <c r="J424" s="25"/>
      <c r="K424" s="25">
        <f>Source!U301</f>
        <v>39.295850000000002</v>
      </c>
    </row>
    <row r="425" spans="1:22" ht="15" x14ac:dyDescent="0.25">
      <c r="A425" s="30"/>
      <c r="B425" s="30"/>
      <c r="C425" s="30"/>
      <c r="D425" s="30"/>
      <c r="E425" s="30"/>
      <c r="F425" s="30"/>
      <c r="G425" s="30"/>
      <c r="H425" s="30"/>
      <c r="I425" s="65">
        <f>J418+J419+J421+J422+J423</f>
        <v>15602.869999999999</v>
      </c>
      <c r="J425" s="65"/>
      <c r="K425" s="31">
        <f>IF(Source!I301&lt;&gt;0, ROUND(I425/Source!I301, 2), 0)</f>
        <v>84339.839999999997</v>
      </c>
      <c r="P425" s="28">
        <f>I425</f>
        <v>15602.869999999999</v>
      </c>
    </row>
    <row r="427" spans="1:22" ht="15" x14ac:dyDescent="0.25">
      <c r="A427" s="69" t="str">
        <f>CONCATENATE("Итого по подразделу: ",IF(Source!G303&lt;&gt;"Новый подраздел", Source!G303, ""))</f>
        <v>Итого по подразделу: Демонтажные работы</v>
      </c>
      <c r="B427" s="69"/>
      <c r="C427" s="69"/>
      <c r="D427" s="69"/>
      <c r="E427" s="69"/>
      <c r="F427" s="69"/>
      <c r="G427" s="69"/>
      <c r="H427" s="69"/>
      <c r="I427" s="66">
        <f>SUM(P387:P426)</f>
        <v>17105.29</v>
      </c>
      <c r="J427" s="67"/>
      <c r="K427" s="33"/>
    </row>
    <row r="430" spans="1:22" ht="16.5" x14ac:dyDescent="0.25">
      <c r="A430" s="68" t="str">
        <f>CONCATENATE("Подраздел: ",IF(Source!G333&lt;&gt;"Новый подраздел", Source!G333, ""))</f>
        <v>Подраздел: Строительные работы</v>
      </c>
      <c r="B430" s="68"/>
      <c r="C430" s="68"/>
      <c r="D430" s="68"/>
      <c r="E430" s="68"/>
      <c r="F430" s="68"/>
      <c r="G430" s="68"/>
      <c r="H430" s="68"/>
      <c r="I430" s="68"/>
      <c r="J430" s="68"/>
      <c r="K430" s="68"/>
    </row>
    <row r="431" spans="1:22" ht="57" x14ac:dyDescent="0.2">
      <c r="A431" s="20" t="str">
        <f>Source!E337</f>
        <v>37</v>
      </c>
      <c r="B431" s="21" t="str">
        <f>Source!F337</f>
        <v>1.10-3303-2-3/1</v>
      </c>
      <c r="C431" s="21" t="str">
        <f>Source!G337</f>
        <v>Устройство покрытий из асфальтобетонных горячих мелкозернистых смесей, марка II, тип В,  толщиной 25 мм</v>
      </c>
      <c r="D431" s="22" t="str">
        <f>Source!DW337</f>
        <v>100 м2</v>
      </c>
      <c r="E431" s="9">
        <f>Source!I337</f>
        <v>0.08</v>
      </c>
      <c r="F431" s="24"/>
      <c r="G431" s="23"/>
      <c r="H431" s="9"/>
      <c r="I431" s="9"/>
      <c r="J431" s="25"/>
      <c r="K431" s="25"/>
      <c r="Q431">
        <f>ROUND((Source!BZ337/100)*ROUND((Source!AF337*Source!AV337)*Source!I337, 2), 2)</f>
        <v>182.18</v>
      </c>
      <c r="R431">
        <f>Source!X337</f>
        <v>182.18</v>
      </c>
      <c r="S431">
        <f>ROUND((Source!CA337/100)*ROUND((Source!AF337*Source!AV337)*Source!I337, 2), 2)</f>
        <v>26.03</v>
      </c>
      <c r="T431">
        <f>Source!Y337</f>
        <v>26.03</v>
      </c>
      <c r="U431">
        <f>ROUND((175/100)*ROUND((Source!AE337*Source!AV337)*Source!I337, 2), 2)</f>
        <v>169.12</v>
      </c>
      <c r="V431">
        <f>ROUND((108/100)*ROUND(Source!CS337*Source!I337, 2), 2)</f>
        <v>104.37</v>
      </c>
    </row>
    <row r="432" spans="1:22" x14ac:dyDescent="0.2">
      <c r="C432" s="26" t="str">
        <f>"Объем: "&amp;Source!I337&amp;"=8/"&amp;"100"</f>
        <v>Объем: 0,08=8/100</v>
      </c>
    </row>
    <row r="433" spans="1:22" ht="14.25" x14ac:dyDescent="0.2">
      <c r="A433" s="20"/>
      <c r="B433" s="21"/>
      <c r="C433" s="21" t="s">
        <v>685</v>
      </c>
      <c r="D433" s="22"/>
      <c r="E433" s="9"/>
      <c r="F433" s="24">
        <f>Source!AO337</f>
        <v>3253.15</v>
      </c>
      <c r="G433" s="23" t="str">
        <f>Source!DG337</f>
        <v/>
      </c>
      <c r="H433" s="9">
        <f>Source!AV337</f>
        <v>1</v>
      </c>
      <c r="I433" s="9">
        <f>IF(Source!BA337&lt;&gt; 0, Source!BA337, 1)</f>
        <v>1</v>
      </c>
      <c r="J433" s="25">
        <f>Source!S337</f>
        <v>260.25</v>
      </c>
      <c r="K433" s="25"/>
    </row>
    <row r="434" spans="1:22" ht="14.25" x14ac:dyDescent="0.2">
      <c r="A434" s="20"/>
      <c r="B434" s="21"/>
      <c r="C434" s="21" t="s">
        <v>686</v>
      </c>
      <c r="D434" s="22"/>
      <c r="E434" s="9"/>
      <c r="F434" s="24">
        <f>Source!AM337</f>
        <v>2014.79</v>
      </c>
      <c r="G434" s="23" t="str">
        <f>Source!DE337</f>
        <v/>
      </c>
      <c r="H434" s="9">
        <f>Source!AV337</f>
        <v>1</v>
      </c>
      <c r="I434" s="9">
        <f>IF(Source!BB337&lt;&gt; 0, Source!BB337, 1)</f>
        <v>1</v>
      </c>
      <c r="J434" s="25">
        <f>Source!Q337</f>
        <v>161.18</v>
      </c>
      <c r="K434" s="25"/>
    </row>
    <row r="435" spans="1:22" ht="14.25" x14ac:dyDescent="0.2">
      <c r="A435" s="20"/>
      <c r="B435" s="21"/>
      <c r="C435" s="21" t="s">
        <v>687</v>
      </c>
      <c r="D435" s="22"/>
      <c r="E435" s="9"/>
      <c r="F435" s="24">
        <f>Source!AN337</f>
        <v>1208.03</v>
      </c>
      <c r="G435" s="23" t="str">
        <f>Source!DF337</f>
        <v/>
      </c>
      <c r="H435" s="9">
        <f>Source!AV337</f>
        <v>1</v>
      </c>
      <c r="I435" s="9">
        <f>IF(Source!BS337&lt;&gt; 0, Source!BS337, 1)</f>
        <v>1</v>
      </c>
      <c r="J435" s="27">
        <f>Source!R337</f>
        <v>96.64</v>
      </c>
      <c r="K435" s="25"/>
    </row>
    <row r="436" spans="1:22" ht="14.25" x14ac:dyDescent="0.2">
      <c r="A436" s="20"/>
      <c r="B436" s="21"/>
      <c r="C436" s="21" t="s">
        <v>694</v>
      </c>
      <c r="D436" s="22"/>
      <c r="E436" s="9"/>
      <c r="F436" s="24">
        <f>Source!AL337</f>
        <v>17411.05</v>
      </c>
      <c r="G436" s="23" t="str">
        <f>Source!DD337</f>
        <v/>
      </c>
      <c r="H436" s="9">
        <f>Source!AW337</f>
        <v>1</v>
      </c>
      <c r="I436" s="9">
        <f>IF(Source!BC337&lt;&gt; 0, Source!BC337, 1)</f>
        <v>1</v>
      </c>
      <c r="J436" s="25">
        <f>Source!P337</f>
        <v>1392.88</v>
      </c>
      <c r="K436" s="25"/>
    </row>
    <row r="437" spans="1:22" ht="14.25" x14ac:dyDescent="0.2">
      <c r="A437" s="20"/>
      <c r="B437" s="21"/>
      <c r="C437" s="21" t="s">
        <v>688</v>
      </c>
      <c r="D437" s="22" t="s">
        <v>689</v>
      </c>
      <c r="E437" s="9">
        <f>Source!AT337</f>
        <v>70</v>
      </c>
      <c r="F437" s="24"/>
      <c r="G437" s="23"/>
      <c r="H437" s="9"/>
      <c r="I437" s="9"/>
      <c r="J437" s="25">
        <f>SUM(R431:R436)</f>
        <v>182.18</v>
      </c>
      <c r="K437" s="25"/>
    </row>
    <row r="438" spans="1:22" ht="14.25" x14ac:dyDescent="0.2">
      <c r="A438" s="20"/>
      <c r="B438" s="21"/>
      <c r="C438" s="21" t="s">
        <v>690</v>
      </c>
      <c r="D438" s="22" t="s">
        <v>689</v>
      </c>
      <c r="E438" s="9">
        <f>Source!AU337</f>
        <v>10</v>
      </c>
      <c r="F438" s="24"/>
      <c r="G438" s="23"/>
      <c r="H438" s="9"/>
      <c r="I438" s="9"/>
      <c r="J438" s="25">
        <f>SUM(T431:T437)</f>
        <v>26.03</v>
      </c>
      <c r="K438" s="25"/>
    </row>
    <row r="439" spans="1:22" ht="14.25" x14ac:dyDescent="0.2">
      <c r="A439" s="20"/>
      <c r="B439" s="21"/>
      <c r="C439" s="21" t="s">
        <v>691</v>
      </c>
      <c r="D439" s="22" t="s">
        <v>689</v>
      </c>
      <c r="E439" s="9">
        <f>108</f>
        <v>108</v>
      </c>
      <c r="F439" s="24"/>
      <c r="G439" s="23"/>
      <c r="H439" s="9"/>
      <c r="I439" s="9"/>
      <c r="J439" s="25">
        <f>SUM(V431:V438)</f>
        <v>104.37</v>
      </c>
      <c r="K439" s="25"/>
    </row>
    <row r="440" spans="1:22" ht="14.25" x14ac:dyDescent="0.2">
      <c r="A440" s="20"/>
      <c r="B440" s="21"/>
      <c r="C440" s="21" t="s">
        <v>692</v>
      </c>
      <c r="D440" s="22" t="s">
        <v>693</v>
      </c>
      <c r="E440" s="9">
        <f>Source!AQ337</f>
        <v>16.440000000000001</v>
      </c>
      <c r="F440" s="24"/>
      <c r="G440" s="23" t="str">
        <f>Source!DI337</f>
        <v/>
      </c>
      <c r="H440" s="9">
        <f>Source!AV337</f>
        <v>1</v>
      </c>
      <c r="I440" s="9"/>
      <c r="J440" s="25"/>
      <c r="K440" s="25">
        <f>Source!U337</f>
        <v>1.3152000000000001</v>
      </c>
    </row>
    <row r="441" spans="1:22" ht="15" x14ac:dyDescent="0.25">
      <c r="A441" s="30"/>
      <c r="B441" s="30"/>
      <c r="C441" s="30"/>
      <c r="D441" s="30"/>
      <c r="E441" s="30"/>
      <c r="F441" s="30"/>
      <c r="G441" s="30"/>
      <c r="H441" s="30"/>
      <c r="I441" s="65">
        <f>J433+J434+J436+J437+J438+J439</f>
        <v>2126.8900000000003</v>
      </c>
      <c r="J441" s="65"/>
      <c r="K441" s="31">
        <f>IF(Source!I337&lt;&gt;0, ROUND(I441/Source!I337, 2), 0)</f>
        <v>26586.13</v>
      </c>
      <c r="P441" s="28">
        <f>I441</f>
        <v>2126.8900000000003</v>
      </c>
    </row>
    <row r="442" spans="1:22" ht="28.5" x14ac:dyDescent="0.2">
      <c r="A442" s="20" t="str">
        <f>Source!E338</f>
        <v>38</v>
      </c>
      <c r="B442" s="21" t="str">
        <f>Source!F338</f>
        <v>1.10-3303-2-4/1</v>
      </c>
      <c r="C442" s="21" t="str">
        <f>Source!G338</f>
        <v>Добавлять или исключать на 5 мм изменения толщины к поз.10-3303-2-3</v>
      </c>
      <c r="D442" s="22" t="str">
        <f>Source!DW338</f>
        <v>100 м2</v>
      </c>
      <c r="E442" s="9">
        <f>Source!I338</f>
        <v>0.08</v>
      </c>
      <c r="F442" s="24"/>
      <c r="G442" s="23"/>
      <c r="H442" s="9"/>
      <c r="I442" s="9"/>
      <c r="J442" s="25"/>
      <c r="K442" s="25"/>
      <c r="Q442">
        <f>ROUND((Source!BZ338/100)*ROUND((Source!AF338*Source!AV338)*Source!I338, 2), 2)</f>
        <v>24.21</v>
      </c>
      <c r="R442">
        <f>Source!X338</f>
        <v>24.21</v>
      </c>
      <c r="S442">
        <f>ROUND((Source!CA338/100)*ROUND((Source!AF338*Source!AV338)*Source!I338, 2), 2)</f>
        <v>3.46</v>
      </c>
      <c r="T442">
        <f>Source!Y338</f>
        <v>3.46</v>
      </c>
      <c r="U442">
        <f>ROUND((175/100)*ROUND((Source!AE338*Source!AV338)*Source!I338, 2), 2)</f>
        <v>8.4</v>
      </c>
      <c r="V442">
        <f>ROUND((108/100)*ROUND(Source!CS338*Source!I338, 2), 2)</f>
        <v>5.18</v>
      </c>
    </row>
    <row r="443" spans="1:22" x14ac:dyDescent="0.2">
      <c r="C443" s="26" t="str">
        <f>"Объем: "&amp;Source!I338&amp;"=8/"&amp;"100"</f>
        <v>Объем: 0,08=8/100</v>
      </c>
    </row>
    <row r="444" spans="1:22" ht="14.25" x14ac:dyDescent="0.2">
      <c r="A444" s="20"/>
      <c r="B444" s="21"/>
      <c r="C444" s="21" t="s">
        <v>685</v>
      </c>
      <c r="D444" s="22"/>
      <c r="E444" s="9"/>
      <c r="F444" s="24">
        <f>Source!AO338</f>
        <v>432.36</v>
      </c>
      <c r="G444" s="23" t="str">
        <f>Source!DG338</f>
        <v/>
      </c>
      <c r="H444" s="9">
        <f>Source!AV338</f>
        <v>1</v>
      </c>
      <c r="I444" s="9">
        <f>IF(Source!BA338&lt;&gt; 0, Source!BA338, 1)</f>
        <v>1</v>
      </c>
      <c r="J444" s="25">
        <f>Source!S338</f>
        <v>34.590000000000003</v>
      </c>
      <c r="K444" s="25"/>
    </row>
    <row r="445" spans="1:22" ht="14.25" x14ac:dyDescent="0.2">
      <c r="A445" s="20"/>
      <c r="B445" s="21"/>
      <c r="C445" s="21" t="s">
        <v>686</v>
      </c>
      <c r="D445" s="22"/>
      <c r="E445" s="9"/>
      <c r="F445" s="24">
        <f>Source!AM338</f>
        <v>105.24</v>
      </c>
      <c r="G445" s="23" t="str">
        <f>Source!DE338</f>
        <v/>
      </c>
      <c r="H445" s="9">
        <f>Source!AV338</f>
        <v>1</v>
      </c>
      <c r="I445" s="9">
        <f>IF(Source!BB338&lt;&gt; 0, Source!BB338, 1)</f>
        <v>1</v>
      </c>
      <c r="J445" s="25">
        <f>Source!Q338</f>
        <v>8.42</v>
      </c>
      <c r="K445" s="25"/>
    </row>
    <row r="446" spans="1:22" ht="14.25" x14ac:dyDescent="0.2">
      <c r="A446" s="20"/>
      <c r="B446" s="21"/>
      <c r="C446" s="21" t="s">
        <v>687</v>
      </c>
      <c r="D446" s="22"/>
      <c r="E446" s="9"/>
      <c r="F446" s="24">
        <f>Source!AN338</f>
        <v>59.96</v>
      </c>
      <c r="G446" s="23" t="str">
        <f>Source!DF338</f>
        <v/>
      </c>
      <c r="H446" s="9">
        <f>Source!AV338</f>
        <v>1</v>
      </c>
      <c r="I446" s="9">
        <f>IF(Source!BS338&lt;&gt; 0, Source!BS338, 1)</f>
        <v>1</v>
      </c>
      <c r="J446" s="27">
        <f>Source!R338</f>
        <v>4.8</v>
      </c>
      <c r="K446" s="25"/>
    </row>
    <row r="447" spans="1:22" ht="14.25" x14ac:dyDescent="0.2">
      <c r="A447" s="20"/>
      <c r="B447" s="21"/>
      <c r="C447" s="21" t="s">
        <v>694</v>
      </c>
      <c r="D447" s="22"/>
      <c r="E447" s="9"/>
      <c r="F447" s="24">
        <f>Source!AL338</f>
        <v>2972.84</v>
      </c>
      <c r="G447" s="23" t="str">
        <f>Source!DD338</f>
        <v/>
      </c>
      <c r="H447" s="9">
        <f>Source!AW338</f>
        <v>1</v>
      </c>
      <c r="I447" s="9">
        <f>IF(Source!BC338&lt;&gt; 0, Source!BC338, 1)</f>
        <v>1</v>
      </c>
      <c r="J447" s="25">
        <f>Source!P338</f>
        <v>237.83</v>
      </c>
      <c r="K447" s="25"/>
    </row>
    <row r="448" spans="1:22" ht="14.25" x14ac:dyDescent="0.2">
      <c r="A448" s="20"/>
      <c r="B448" s="21"/>
      <c r="C448" s="21" t="s">
        <v>688</v>
      </c>
      <c r="D448" s="22" t="s">
        <v>689</v>
      </c>
      <c r="E448" s="9">
        <f>Source!AT338</f>
        <v>70</v>
      </c>
      <c r="F448" s="24"/>
      <c r="G448" s="23"/>
      <c r="H448" s="9"/>
      <c r="I448" s="9"/>
      <c r="J448" s="25">
        <f>SUM(R442:R447)</f>
        <v>24.21</v>
      </c>
      <c r="K448" s="25"/>
    </row>
    <row r="449" spans="1:22" ht="14.25" x14ac:dyDescent="0.2">
      <c r="A449" s="20"/>
      <c r="B449" s="21"/>
      <c r="C449" s="21" t="s">
        <v>690</v>
      </c>
      <c r="D449" s="22" t="s">
        <v>689</v>
      </c>
      <c r="E449" s="9">
        <f>Source!AU338</f>
        <v>10</v>
      </c>
      <c r="F449" s="24"/>
      <c r="G449" s="23"/>
      <c r="H449" s="9"/>
      <c r="I449" s="9"/>
      <c r="J449" s="25">
        <f>SUM(T442:T448)</f>
        <v>3.46</v>
      </c>
      <c r="K449" s="25"/>
    </row>
    <row r="450" spans="1:22" ht="14.25" x14ac:dyDescent="0.2">
      <c r="A450" s="20"/>
      <c r="B450" s="21"/>
      <c r="C450" s="21" t="s">
        <v>691</v>
      </c>
      <c r="D450" s="22" t="s">
        <v>689</v>
      </c>
      <c r="E450" s="9">
        <f>108</f>
        <v>108</v>
      </c>
      <c r="F450" s="24"/>
      <c r="G450" s="23"/>
      <c r="H450" s="9"/>
      <c r="I450" s="9"/>
      <c r="J450" s="25">
        <f>SUM(V442:V449)</f>
        <v>5.18</v>
      </c>
      <c r="K450" s="25"/>
    </row>
    <row r="451" spans="1:22" ht="14.25" x14ac:dyDescent="0.2">
      <c r="A451" s="20"/>
      <c r="B451" s="21"/>
      <c r="C451" s="21" t="s">
        <v>692</v>
      </c>
      <c r="D451" s="22" t="s">
        <v>693</v>
      </c>
      <c r="E451" s="9">
        <f>Source!AQ338</f>
        <v>2.31</v>
      </c>
      <c r="F451" s="24"/>
      <c r="G451" s="23" t="str">
        <f>Source!DI338</f>
        <v/>
      </c>
      <c r="H451" s="9">
        <f>Source!AV338</f>
        <v>1</v>
      </c>
      <c r="I451" s="9"/>
      <c r="J451" s="25"/>
      <c r="K451" s="25">
        <f>Source!U338</f>
        <v>0.18480000000000002</v>
      </c>
    </row>
    <row r="452" spans="1:22" ht="15" x14ac:dyDescent="0.25">
      <c r="A452" s="30"/>
      <c r="B452" s="30"/>
      <c r="C452" s="30"/>
      <c r="D452" s="30"/>
      <c r="E452" s="30"/>
      <c r="F452" s="30"/>
      <c r="G452" s="30"/>
      <c r="H452" s="30"/>
      <c r="I452" s="65">
        <f>J444+J445+J447+J448+J449+J450</f>
        <v>313.69</v>
      </c>
      <c r="J452" s="65"/>
      <c r="K452" s="31">
        <f>IF(Source!I338&lt;&gt;0, ROUND(I452/Source!I338, 2), 0)</f>
        <v>3921.13</v>
      </c>
      <c r="P452" s="28">
        <f>I452</f>
        <v>313.69</v>
      </c>
    </row>
    <row r="453" spans="1:22" ht="28.5" x14ac:dyDescent="0.2">
      <c r="A453" s="20" t="str">
        <f>Source!E339</f>
        <v>39</v>
      </c>
      <c r="B453" s="21" t="str">
        <f>Source!F339</f>
        <v>1.50-3203-37-3/1</v>
      </c>
      <c r="C453" s="21" t="str">
        <f>Source!G339</f>
        <v>Монтаж мелких конструкций из стали различного профиля массой до 100 кг</v>
      </c>
      <c r="D453" s="22" t="str">
        <f>Source!DW339</f>
        <v>т</v>
      </c>
      <c r="E453" s="9">
        <f>Source!I339</f>
        <v>0.4</v>
      </c>
      <c r="F453" s="24"/>
      <c r="G453" s="23"/>
      <c r="H453" s="9"/>
      <c r="I453" s="9"/>
      <c r="J453" s="25"/>
      <c r="K453" s="25"/>
      <c r="Q453">
        <f>ROUND((Source!BZ339/100)*ROUND((Source!AF339*Source!AV339)*Source!I339, 2), 2)</f>
        <v>6297.38</v>
      </c>
      <c r="R453">
        <f>Source!X339</f>
        <v>6297.38</v>
      </c>
      <c r="S453">
        <f>ROUND((Source!CA339/100)*ROUND((Source!AF339*Source!AV339)*Source!I339, 2), 2)</f>
        <v>899.63</v>
      </c>
      <c r="T453">
        <f>Source!Y339</f>
        <v>899.63</v>
      </c>
      <c r="U453">
        <f>ROUND((175/100)*ROUND((Source!AE339*Source!AV339)*Source!I339, 2), 2)</f>
        <v>17.96</v>
      </c>
      <c r="V453">
        <f>ROUND((108/100)*ROUND(Source!CS339*Source!I339, 2), 2)</f>
        <v>11.08</v>
      </c>
    </row>
    <row r="454" spans="1:22" ht="14.25" x14ac:dyDescent="0.2">
      <c r="A454" s="20"/>
      <c r="B454" s="21"/>
      <c r="C454" s="21" t="s">
        <v>685</v>
      </c>
      <c r="D454" s="22"/>
      <c r="E454" s="9"/>
      <c r="F454" s="24">
        <f>Source!AO339</f>
        <v>22490.639999999999</v>
      </c>
      <c r="G454" s="23" t="str">
        <f>Source!DG339</f>
        <v/>
      </c>
      <c r="H454" s="9">
        <f>Source!AV339</f>
        <v>1</v>
      </c>
      <c r="I454" s="9">
        <f>IF(Source!BA339&lt;&gt; 0, Source!BA339, 1)</f>
        <v>1</v>
      </c>
      <c r="J454" s="25">
        <f>Source!S339</f>
        <v>8996.26</v>
      </c>
      <c r="K454" s="25"/>
    </row>
    <row r="455" spans="1:22" ht="14.25" x14ac:dyDescent="0.2">
      <c r="A455" s="20"/>
      <c r="B455" s="21"/>
      <c r="C455" s="21" t="s">
        <v>686</v>
      </c>
      <c r="D455" s="22"/>
      <c r="E455" s="9"/>
      <c r="F455" s="24">
        <f>Source!AM339</f>
        <v>589</v>
      </c>
      <c r="G455" s="23" t="str">
        <f>Source!DE339</f>
        <v/>
      </c>
      <c r="H455" s="9">
        <f>Source!AV339</f>
        <v>1</v>
      </c>
      <c r="I455" s="9">
        <f>IF(Source!BB339&lt;&gt; 0, Source!BB339, 1)</f>
        <v>1</v>
      </c>
      <c r="J455" s="25">
        <f>Source!Q339</f>
        <v>235.6</v>
      </c>
      <c r="K455" s="25"/>
    </row>
    <row r="456" spans="1:22" ht="14.25" x14ac:dyDescent="0.2">
      <c r="A456" s="20"/>
      <c r="B456" s="21"/>
      <c r="C456" s="21" t="s">
        <v>687</v>
      </c>
      <c r="D456" s="22"/>
      <c r="E456" s="9"/>
      <c r="F456" s="24">
        <f>Source!AN339</f>
        <v>25.65</v>
      </c>
      <c r="G456" s="23" t="str">
        <f>Source!DF339</f>
        <v/>
      </c>
      <c r="H456" s="9">
        <f>Source!AV339</f>
        <v>1</v>
      </c>
      <c r="I456" s="9">
        <f>IF(Source!BS339&lt;&gt; 0, Source!BS339, 1)</f>
        <v>1</v>
      </c>
      <c r="J456" s="27">
        <f>Source!R339</f>
        <v>10.26</v>
      </c>
      <c r="K456" s="25"/>
    </row>
    <row r="457" spans="1:22" ht="14.25" x14ac:dyDescent="0.2">
      <c r="A457" s="20"/>
      <c r="B457" s="21"/>
      <c r="C457" s="21" t="s">
        <v>694</v>
      </c>
      <c r="D457" s="22"/>
      <c r="E457" s="9"/>
      <c r="F457" s="24">
        <f>Source!AL339</f>
        <v>75528.429999999993</v>
      </c>
      <c r="G457" s="23" t="str">
        <f>Source!DD339</f>
        <v/>
      </c>
      <c r="H457" s="9">
        <f>Source!AW339</f>
        <v>1</v>
      </c>
      <c r="I457" s="9">
        <f>IF(Source!BC339&lt;&gt; 0, Source!BC339, 1)</f>
        <v>1</v>
      </c>
      <c r="J457" s="25">
        <f>Source!P339</f>
        <v>30211.37</v>
      </c>
      <c r="K457" s="25"/>
    </row>
    <row r="458" spans="1:22" ht="54" x14ac:dyDescent="0.2">
      <c r="A458" s="20" t="str">
        <f>Source!E340</f>
        <v>39,1</v>
      </c>
      <c r="B458" s="21" t="str">
        <f>Source!F340</f>
        <v>Цена поставщика</v>
      </c>
      <c r="C458" s="21" t="s">
        <v>719</v>
      </c>
      <c r="D458" s="22" t="str">
        <f>Source!DW340</f>
        <v>шт.</v>
      </c>
      <c r="E458" s="9">
        <f>Source!I340</f>
        <v>0.35936600000000002</v>
      </c>
      <c r="F458" s="24">
        <f>Source!AK340</f>
        <v>35285</v>
      </c>
      <c r="G458" s="34" t="s">
        <v>3</v>
      </c>
      <c r="H458" s="9">
        <f>Source!AW340</f>
        <v>1</v>
      </c>
      <c r="I458" s="9">
        <f>IF(Source!BC340&lt;&gt; 0, Source!BC340, 1)</f>
        <v>1</v>
      </c>
      <c r="J458" s="25">
        <f>Source!O340</f>
        <v>12680.23</v>
      </c>
      <c r="K458" s="25"/>
      <c r="Q458">
        <f>ROUND((Source!BZ340/100)*ROUND((Source!AF340*Source!AV340)*Source!I340, 2), 2)</f>
        <v>0</v>
      </c>
      <c r="R458">
        <f>Source!X340</f>
        <v>0</v>
      </c>
      <c r="S458">
        <f>ROUND((Source!CA340/100)*ROUND((Source!AF340*Source!AV340)*Source!I340, 2), 2)</f>
        <v>0</v>
      </c>
      <c r="T458">
        <f>Source!Y340</f>
        <v>0</v>
      </c>
      <c r="U458">
        <f>ROUND((175/100)*ROUND((Source!AE340*Source!AV340)*Source!I340, 2), 2)</f>
        <v>0</v>
      </c>
      <c r="V458">
        <f>ROUND((108/100)*ROUND(Source!CS340*Source!I340, 2), 2)</f>
        <v>0</v>
      </c>
    </row>
    <row r="459" spans="1:22" ht="14.25" x14ac:dyDescent="0.2">
      <c r="A459" s="20"/>
      <c r="B459" s="21"/>
      <c r="C459" s="21" t="s">
        <v>688</v>
      </c>
      <c r="D459" s="22" t="s">
        <v>689</v>
      </c>
      <c r="E459" s="9">
        <f>Source!AT339</f>
        <v>70</v>
      </c>
      <c r="F459" s="24"/>
      <c r="G459" s="23"/>
      <c r="H459" s="9"/>
      <c r="I459" s="9"/>
      <c r="J459" s="25">
        <f>SUM(R453:R458)</f>
        <v>6297.38</v>
      </c>
      <c r="K459" s="25"/>
    </row>
    <row r="460" spans="1:22" ht="14.25" x14ac:dyDescent="0.2">
      <c r="A460" s="20"/>
      <c r="B460" s="21"/>
      <c r="C460" s="21" t="s">
        <v>690</v>
      </c>
      <c r="D460" s="22" t="s">
        <v>689</v>
      </c>
      <c r="E460" s="9">
        <f>Source!AU339</f>
        <v>10</v>
      </c>
      <c r="F460" s="24"/>
      <c r="G460" s="23"/>
      <c r="H460" s="9"/>
      <c r="I460" s="9"/>
      <c r="J460" s="25">
        <f>SUM(T453:T459)</f>
        <v>899.63</v>
      </c>
      <c r="K460" s="25"/>
    </row>
    <row r="461" spans="1:22" ht="14.25" x14ac:dyDescent="0.2">
      <c r="A461" s="20"/>
      <c r="B461" s="21"/>
      <c r="C461" s="21" t="s">
        <v>691</v>
      </c>
      <c r="D461" s="22" t="s">
        <v>689</v>
      </c>
      <c r="E461" s="9">
        <f>108</f>
        <v>108</v>
      </c>
      <c r="F461" s="24"/>
      <c r="G461" s="23"/>
      <c r="H461" s="9"/>
      <c r="I461" s="9"/>
      <c r="J461" s="25">
        <f>SUM(V453:V460)</f>
        <v>11.08</v>
      </c>
      <c r="K461" s="25"/>
    </row>
    <row r="462" spans="1:22" ht="14.25" x14ac:dyDescent="0.2">
      <c r="A462" s="20"/>
      <c r="B462" s="21"/>
      <c r="C462" s="21" t="s">
        <v>692</v>
      </c>
      <c r="D462" s="22" t="s">
        <v>693</v>
      </c>
      <c r="E462" s="9">
        <f>Source!AQ339</f>
        <v>87.4</v>
      </c>
      <c r="F462" s="24"/>
      <c r="G462" s="23" t="str">
        <f>Source!DI339</f>
        <v/>
      </c>
      <c r="H462" s="9">
        <f>Source!AV339</f>
        <v>1</v>
      </c>
      <c r="I462" s="9"/>
      <c r="J462" s="25"/>
      <c r="K462" s="25">
        <f>Source!U339</f>
        <v>34.96</v>
      </c>
    </row>
    <row r="463" spans="1:22" ht="15" x14ac:dyDescent="0.25">
      <c r="A463" s="30"/>
      <c r="B463" s="30"/>
      <c r="C463" s="30"/>
      <c r="D463" s="30"/>
      <c r="E463" s="30"/>
      <c r="F463" s="30"/>
      <c r="G463" s="30"/>
      <c r="H463" s="30"/>
      <c r="I463" s="65">
        <f>J454+J455+J457+J459+J460+J461+SUM(J458:J458)</f>
        <v>59331.549999999988</v>
      </c>
      <c r="J463" s="65"/>
      <c r="K463" s="31">
        <f>IF(Source!I339&lt;&gt;0, ROUND(I463/Source!I339, 2), 0)</f>
        <v>148328.88</v>
      </c>
      <c r="P463" s="28">
        <f>I463</f>
        <v>59331.549999999988</v>
      </c>
    </row>
    <row r="465" spans="1:22" ht="15" x14ac:dyDescent="0.25">
      <c r="A465" s="69" t="str">
        <f>CONCATENATE("Итого по подразделу: ",IF(Source!G342&lt;&gt;"Новый подраздел", Source!G342, ""))</f>
        <v>Итого по подразделу: Строительные работы</v>
      </c>
      <c r="B465" s="69"/>
      <c r="C465" s="69"/>
      <c r="D465" s="69"/>
      <c r="E465" s="69"/>
      <c r="F465" s="69"/>
      <c r="G465" s="69"/>
      <c r="H465" s="69"/>
      <c r="I465" s="66">
        <f>SUM(P430:P464)</f>
        <v>61772.12999999999</v>
      </c>
      <c r="J465" s="67"/>
      <c r="K465" s="33"/>
    </row>
    <row r="468" spans="1:22" ht="15" x14ac:dyDescent="0.25">
      <c r="A468" s="69" t="str">
        <f>CONCATENATE("Итого по разделу: ",IF(Source!G372&lt;&gt;"Новый раздел", Source!G372, ""))</f>
        <v>Итого по разделу: Контейнерная площадка</v>
      </c>
      <c r="B468" s="69"/>
      <c r="C468" s="69"/>
      <c r="D468" s="69"/>
      <c r="E468" s="69"/>
      <c r="F468" s="69"/>
      <c r="G468" s="69"/>
      <c r="H468" s="69"/>
      <c r="I468" s="66">
        <f>SUM(P385:P467)</f>
        <v>78877.419999999984</v>
      </c>
      <c r="J468" s="67"/>
      <c r="K468" s="33"/>
    </row>
    <row r="471" spans="1:22" ht="16.5" x14ac:dyDescent="0.25">
      <c r="A471" s="68" t="str">
        <f>CONCATENATE("Раздел: ",IF(Source!G402&lt;&gt;"Новый раздел", Source!G402, ""))</f>
        <v>Раздел: Дорожки до веранд</v>
      </c>
      <c r="B471" s="68"/>
      <c r="C471" s="68"/>
      <c r="D471" s="68"/>
      <c r="E471" s="68"/>
      <c r="F471" s="68"/>
      <c r="G471" s="68"/>
      <c r="H471" s="68"/>
      <c r="I471" s="68"/>
      <c r="J471" s="68"/>
      <c r="K471" s="68"/>
    </row>
    <row r="473" spans="1:22" ht="16.5" x14ac:dyDescent="0.25">
      <c r="A473" s="68" t="str">
        <f>CONCATENATE("Подраздел: ",IF(Source!G406&lt;&gt;"Новый подраздел", Source!G406, ""))</f>
        <v>Подраздел: Строительные работы</v>
      </c>
      <c r="B473" s="68"/>
      <c r="C473" s="68"/>
      <c r="D473" s="68"/>
      <c r="E473" s="68"/>
      <c r="F473" s="68"/>
      <c r="G473" s="68"/>
      <c r="H473" s="68"/>
      <c r="I473" s="68"/>
      <c r="J473" s="68"/>
      <c r="K473" s="68"/>
    </row>
    <row r="474" spans="1:22" ht="42.75" x14ac:dyDescent="0.2">
      <c r="A474" s="20" t="str">
        <f>Source!E410</f>
        <v>40</v>
      </c>
      <c r="B474" s="21" t="str">
        <f>Source!F410</f>
        <v>1.1-3303-2-1/1</v>
      </c>
      <c r="C474" s="21" t="str">
        <f>Source!G410</f>
        <v>Разработка грунта вручную в траншеях глубиной до 2 м без креплений с откосами группа грунтов 1-3</v>
      </c>
      <c r="D474" s="22" t="str">
        <f>Source!DW410</f>
        <v>100 м3</v>
      </c>
      <c r="E474" s="9">
        <f>Source!I410</f>
        <v>0.10829999999999999</v>
      </c>
      <c r="F474" s="24"/>
      <c r="G474" s="23"/>
      <c r="H474" s="9"/>
      <c r="I474" s="9"/>
      <c r="J474" s="25"/>
      <c r="K474" s="25"/>
      <c r="Q474">
        <f>ROUND((Source!BZ410/100)*ROUND((Source!AF410*Source!AV410)*Source!I410, 2), 2)</f>
        <v>3180.31</v>
      </c>
      <c r="R474">
        <f>Source!X410</f>
        <v>3180.31</v>
      </c>
      <c r="S474">
        <f>ROUND((Source!CA410/100)*ROUND((Source!AF410*Source!AV410)*Source!I410, 2), 2)</f>
        <v>454.33</v>
      </c>
      <c r="T474">
        <f>Source!Y410</f>
        <v>454.33</v>
      </c>
      <c r="U474">
        <f>ROUND((175/100)*ROUND((Source!AE410*Source!AV410)*Source!I410, 2), 2)</f>
        <v>0</v>
      </c>
      <c r="V474">
        <f>ROUND((108/100)*ROUND(Source!CS410*Source!I410, 2), 2)</f>
        <v>0</v>
      </c>
    </row>
    <row r="475" spans="1:22" x14ac:dyDescent="0.2">
      <c r="C475" s="26" t="str">
        <f>"Объем: "&amp;Source!I410&amp;"=10,83/"&amp;"100"</f>
        <v>Объем: 0,1083=10,83/100</v>
      </c>
    </row>
    <row r="476" spans="1:22" ht="14.25" x14ac:dyDescent="0.2">
      <c r="A476" s="20"/>
      <c r="B476" s="21"/>
      <c r="C476" s="21" t="s">
        <v>685</v>
      </c>
      <c r="D476" s="22"/>
      <c r="E476" s="9"/>
      <c r="F476" s="24">
        <f>Source!AO410</f>
        <v>41951.1</v>
      </c>
      <c r="G476" s="23" t="str">
        <f>Source!DG410</f>
        <v/>
      </c>
      <c r="H476" s="9">
        <f>Source!AV410</f>
        <v>1</v>
      </c>
      <c r="I476" s="9">
        <f>IF(Source!BA410&lt;&gt; 0, Source!BA410, 1)</f>
        <v>1</v>
      </c>
      <c r="J476" s="25">
        <f>Source!S410</f>
        <v>4543.3</v>
      </c>
      <c r="K476" s="25"/>
    </row>
    <row r="477" spans="1:22" ht="14.25" x14ac:dyDescent="0.2">
      <c r="A477" s="20"/>
      <c r="B477" s="21"/>
      <c r="C477" s="21" t="s">
        <v>688</v>
      </c>
      <c r="D477" s="22" t="s">
        <v>689</v>
      </c>
      <c r="E477" s="9">
        <f>Source!AT410</f>
        <v>70</v>
      </c>
      <c r="F477" s="24"/>
      <c r="G477" s="23"/>
      <c r="H477" s="9"/>
      <c r="I477" s="9"/>
      <c r="J477" s="25">
        <f>SUM(R474:R476)</f>
        <v>3180.31</v>
      </c>
      <c r="K477" s="25"/>
    </row>
    <row r="478" spans="1:22" ht="14.25" x14ac:dyDescent="0.2">
      <c r="A478" s="20"/>
      <c r="B478" s="21"/>
      <c r="C478" s="21" t="s">
        <v>690</v>
      </c>
      <c r="D478" s="22" t="s">
        <v>689</v>
      </c>
      <c r="E478" s="9">
        <f>Source!AU410</f>
        <v>10</v>
      </c>
      <c r="F478" s="24"/>
      <c r="G478" s="23"/>
      <c r="H478" s="9"/>
      <c r="I478" s="9"/>
      <c r="J478" s="25">
        <f>SUM(T474:T477)</f>
        <v>454.33</v>
      </c>
      <c r="K478" s="25"/>
    </row>
    <row r="479" spans="1:22" ht="14.25" x14ac:dyDescent="0.2">
      <c r="A479" s="20"/>
      <c r="B479" s="21"/>
      <c r="C479" s="21" t="s">
        <v>692</v>
      </c>
      <c r="D479" s="22" t="s">
        <v>693</v>
      </c>
      <c r="E479" s="9">
        <f>Source!AQ410</f>
        <v>221.6</v>
      </c>
      <c r="F479" s="24"/>
      <c r="G479" s="23" t="str">
        <f>Source!DI410</f>
        <v/>
      </c>
      <c r="H479" s="9">
        <f>Source!AV410</f>
        <v>1</v>
      </c>
      <c r="I479" s="9"/>
      <c r="J479" s="25"/>
      <c r="K479" s="25">
        <f>Source!U410</f>
        <v>23.999279999999999</v>
      </c>
    </row>
    <row r="480" spans="1:22" ht="15" x14ac:dyDescent="0.25">
      <c r="A480" s="30"/>
      <c r="B480" s="30"/>
      <c r="C480" s="30"/>
      <c r="D480" s="30"/>
      <c r="E480" s="30"/>
      <c r="F480" s="30"/>
      <c r="G480" s="30"/>
      <c r="H480" s="30"/>
      <c r="I480" s="65">
        <f>J476+J477+J478</f>
        <v>8177.9400000000005</v>
      </c>
      <c r="J480" s="65"/>
      <c r="K480" s="31">
        <f>IF(Source!I410&lt;&gt;0, ROUND(I480/Source!I410, 2), 0)</f>
        <v>75511.91</v>
      </c>
      <c r="P480" s="28">
        <f>I480</f>
        <v>8177.9400000000005</v>
      </c>
    </row>
    <row r="481" spans="1:22" ht="28.5" x14ac:dyDescent="0.2">
      <c r="A481" s="20" t="str">
        <f>Source!E411</f>
        <v>41</v>
      </c>
      <c r="B481" s="21" t="str">
        <f>Source!F411</f>
        <v>2.49-3202-4-1/1</v>
      </c>
      <c r="C481" s="21" t="str">
        <f>Source!G411</f>
        <v>Уплотнение грунта пневматическими трамбовками, группа грунтов 1, 2</v>
      </c>
      <c r="D481" s="22" t="str">
        <f>Source!DW411</f>
        <v>100 м3</v>
      </c>
      <c r="E481" s="9">
        <f>Source!I411</f>
        <v>0.10829999999999999</v>
      </c>
      <c r="F481" s="24"/>
      <c r="G481" s="23"/>
      <c r="H481" s="9"/>
      <c r="I481" s="9"/>
      <c r="J481" s="25"/>
      <c r="K481" s="25"/>
      <c r="Q481">
        <f>ROUND((Source!BZ411/100)*ROUND((Source!AF411*Source!AV411)*Source!I411, 2), 2)</f>
        <v>190.34</v>
      </c>
      <c r="R481">
        <f>Source!X411</f>
        <v>190.34</v>
      </c>
      <c r="S481">
        <f>ROUND((Source!CA411/100)*ROUND((Source!AF411*Source!AV411)*Source!I411, 2), 2)</f>
        <v>27.19</v>
      </c>
      <c r="T481">
        <f>Source!Y411</f>
        <v>27.19</v>
      </c>
      <c r="U481">
        <f>ROUND((175/100)*ROUND((Source!AE411*Source!AV411)*Source!I411, 2), 2)</f>
        <v>1058.6099999999999</v>
      </c>
      <c r="V481">
        <f>ROUND((108/100)*ROUND(Source!CS411*Source!I411, 2), 2)</f>
        <v>653.30999999999995</v>
      </c>
    </row>
    <row r="482" spans="1:22" x14ac:dyDescent="0.2">
      <c r="C482" s="26" t="str">
        <f>"Объем: "&amp;Source!I411&amp;"=10,83/"&amp;"100"</f>
        <v>Объем: 0,1083=10,83/100</v>
      </c>
    </row>
    <row r="483" spans="1:22" ht="14.25" x14ac:dyDescent="0.2">
      <c r="A483" s="20"/>
      <c r="B483" s="21"/>
      <c r="C483" s="21" t="s">
        <v>685</v>
      </c>
      <c r="D483" s="22"/>
      <c r="E483" s="9"/>
      <c r="F483" s="24">
        <f>Source!AO411</f>
        <v>2510.83</v>
      </c>
      <c r="G483" s="23" t="str">
        <f>Source!DG411</f>
        <v/>
      </c>
      <c r="H483" s="9">
        <f>Source!AV411</f>
        <v>1</v>
      </c>
      <c r="I483" s="9">
        <f>IF(Source!BA411&lt;&gt; 0, Source!BA411, 1)</f>
        <v>1</v>
      </c>
      <c r="J483" s="25">
        <f>Source!S411</f>
        <v>271.92</v>
      </c>
      <c r="K483" s="25"/>
    </row>
    <row r="484" spans="1:22" ht="14.25" x14ac:dyDescent="0.2">
      <c r="A484" s="20"/>
      <c r="B484" s="21"/>
      <c r="C484" s="21" t="s">
        <v>686</v>
      </c>
      <c r="D484" s="22"/>
      <c r="E484" s="9"/>
      <c r="F484" s="24">
        <f>Source!AM411</f>
        <v>9813.1</v>
      </c>
      <c r="G484" s="23" t="str">
        <f>Source!DE411</f>
        <v/>
      </c>
      <c r="H484" s="9">
        <f>Source!AV411</f>
        <v>1</v>
      </c>
      <c r="I484" s="9">
        <f>IF(Source!BB411&lt;&gt; 0, Source!BB411, 1)</f>
        <v>1</v>
      </c>
      <c r="J484" s="25">
        <f>Source!Q411</f>
        <v>1062.76</v>
      </c>
      <c r="K484" s="25"/>
    </row>
    <row r="485" spans="1:22" ht="14.25" x14ac:dyDescent="0.2">
      <c r="A485" s="20"/>
      <c r="B485" s="21"/>
      <c r="C485" s="21" t="s">
        <v>687</v>
      </c>
      <c r="D485" s="22"/>
      <c r="E485" s="9"/>
      <c r="F485" s="24">
        <f>Source!AN411</f>
        <v>5585.58</v>
      </c>
      <c r="G485" s="23" t="str">
        <f>Source!DF411</f>
        <v/>
      </c>
      <c r="H485" s="9">
        <f>Source!AV411</f>
        <v>1</v>
      </c>
      <c r="I485" s="9">
        <f>IF(Source!BS411&lt;&gt; 0, Source!BS411, 1)</f>
        <v>1</v>
      </c>
      <c r="J485" s="27">
        <f>Source!R411</f>
        <v>604.91999999999996</v>
      </c>
      <c r="K485" s="25"/>
    </row>
    <row r="486" spans="1:22" ht="14.25" x14ac:dyDescent="0.2">
      <c r="A486" s="20"/>
      <c r="B486" s="21"/>
      <c r="C486" s="21" t="s">
        <v>688</v>
      </c>
      <c r="D486" s="22" t="s">
        <v>689</v>
      </c>
      <c r="E486" s="9">
        <f>Source!AT411</f>
        <v>70</v>
      </c>
      <c r="F486" s="24"/>
      <c r="G486" s="23"/>
      <c r="H486" s="9"/>
      <c r="I486" s="9"/>
      <c r="J486" s="25">
        <f>SUM(R481:R485)</f>
        <v>190.34</v>
      </c>
      <c r="K486" s="25"/>
    </row>
    <row r="487" spans="1:22" ht="14.25" x14ac:dyDescent="0.2">
      <c r="A487" s="20"/>
      <c r="B487" s="21"/>
      <c r="C487" s="21" t="s">
        <v>690</v>
      </c>
      <c r="D487" s="22" t="s">
        <v>689</v>
      </c>
      <c r="E487" s="9">
        <f>Source!AU411</f>
        <v>10</v>
      </c>
      <c r="F487" s="24"/>
      <c r="G487" s="23"/>
      <c r="H487" s="9"/>
      <c r="I487" s="9"/>
      <c r="J487" s="25">
        <f>SUM(T481:T486)</f>
        <v>27.19</v>
      </c>
      <c r="K487" s="25"/>
    </row>
    <row r="488" spans="1:22" ht="14.25" x14ac:dyDescent="0.2">
      <c r="A488" s="20"/>
      <c r="B488" s="21"/>
      <c r="C488" s="21" t="s">
        <v>691</v>
      </c>
      <c r="D488" s="22" t="s">
        <v>689</v>
      </c>
      <c r="E488" s="9">
        <f>108</f>
        <v>108</v>
      </c>
      <c r="F488" s="24"/>
      <c r="G488" s="23"/>
      <c r="H488" s="9"/>
      <c r="I488" s="9"/>
      <c r="J488" s="25">
        <f>SUM(V481:V487)</f>
        <v>653.30999999999995</v>
      </c>
      <c r="K488" s="25"/>
    </row>
    <row r="489" spans="1:22" ht="14.25" x14ac:dyDescent="0.2">
      <c r="A489" s="20"/>
      <c r="B489" s="21"/>
      <c r="C489" s="21" t="s">
        <v>692</v>
      </c>
      <c r="D489" s="22" t="s">
        <v>693</v>
      </c>
      <c r="E489" s="9">
        <f>Source!AQ411</f>
        <v>12.42</v>
      </c>
      <c r="F489" s="24"/>
      <c r="G489" s="23" t="str">
        <f>Source!DI411</f>
        <v/>
      </c>
      <c r="H489" s="9">
        <f>Source!AV411</f>
        <v>1</v>
      </c>
      <c r="I489" s="9"/>
      <c r="J489" s="25"/>
      <c r="K489" s="25">
        <f>Source!U411</f>
        <v>1.345086</v>
      </c>
    </row>
    <row r="490" spans="1:22" ht="15" x14ac:dyDescent="0.25">
      <c r="A490" s="30"/>
      <c r="B490" s="30"/>
      <c r="C490" s="30"/>
      <c r="D490" s="30"/>
      <c r="E490" s="30"/>
      <c r="F490" s="30"/>
      <c r="G490" s="30"/>
      <c r="H490" s="30"/>
      <c r="I490" s="65">
        <f>J483+J484+J486+J487+J488</f>
        <v>2205.52</v>
      </c>
      <c r="J490" s="65"/>
      <c r="K490" s="31">
        <f>IF(Source!I411&lt;&gt;0, ROUND(I490/Source!I411, 2), 0)</f>
        <v>20364.91</v>
      </c>
      <c r="P490" s="28">
        <f>I490</f>
        <v>2205.52</v>
      </c>
    </row>
    <row r="491" spans="1:22" ht="28.5" x14ac:dyDescent="0.2">
      <c r="A491" s="20" t="str">
        <f>Source!E412</f>
        <v>42</v>
      </c>
      <c r="B491" s="21" t="str">
        <f>Source!F412</f>
        <v>1.10-3103-1-1/1</v>
      </c>
      <c r="C491" s="21" t="str">
        <f>Source!G412</f>
        <v>Устройство уплотняемых трамбовками подстилающих слоев песчаных</v>
      </c>
      <c r="D491" s="22" t="str">
        <f>Source!DW412</f>
        <v>м3</v>
      </c>
      <c r="E491" s="9">
        <f>Source!I412</f>
        <v>8.67</v>
      </c>
      <c r="F491" s="24"/>
      <c r="G491" s="23"/>
      <c r="H491" s="9"/>
      <c r="I491" s="9"/>
      <c r="J491" s="25"/>
      <c r="K491" s="25"/>
      <c r="Q491">
        <f>ROUND((Source!BZ412/100)*ROUND((Source!AF412*Source!AV412)*Source!I412, 2), 2)</f>
        <v>4312.63</v>
      </c>
      <c r="R491">
        <f>Source!X412</f>
        <v>4312.63</v>
      </c>
      <c r="S491">
        <f>ROUND((Source!CA412/100)*ROUND((Source!AF412*Source!AV412)*Source!I412, 2), 2)</f>
        <v>616.09</v>
      </c>
      <c r="T491">
        <f>Source!Y412</f>
        <v>616.09</v>
      </c>
      <c r="U491">
        <f>ROUND((175/100)*ROUND((Source!AE412*Source!AV412)*Source!I412, 2), 2)</f>
        <v>2454.6</v>
      </c>
      <c r="V491">
        <f>ROUND((108/100)*ROUND(Source!CS412*Source!I412, 2), 2)</f>
        <v>1514.84</v>
      </c>
    </row>
    <row r="492" spans="1:22" ht="14.25" x14ac:dyDescent="0.2">
      <c r="A492" s="20"/>
      <c r="B492" s="21"/>
      <c r="C492" s="21" t="s">
        <v>685</v>
      </c>
      <c r="D492" s="22"/>
      <c r="E492" s="9"/>
      <c r="F492" s="24">
        <f>Source!AO412</f>
        <v>710.6</v>
      </c>
      <c r="G492" s="23" t="str">
        <f>Source!DG412</f>
        <v/>
      </c>
      <c r="H492" s="9">
        <f>Source!AV412</f>
        <v>1</v>
      </c>
      <c r="I492" s="9">
        <f>IF(Source!BA412&lt;&gt; 0, Source!BA412, 1)</f>
        <v>1</v>
      </c>
      <c r="J492" s="25">
        <f>Source!S412</f>
        <v>6160.9</v>
      </c>
      <c r="K492" s="25"/>
    </row>
    <row r="493" spans="1:22" ht="14.25" x14ac:dyDescent="0.2">
      <c r="A493" s="20"/>
      <c r="B493" s="21"/>
      <c r="C493" s="21" t="s">
        <v>686</v>
      </c>
      <c r="D493" s="22"/>
      <c r="E493" s="9"/>
      <c r="F493" s="24">
        <f>Source!AM412</f>
        <v>284.22000000000003</v>
      </c>
      <c r="G493" s="23" t="str">
        <f>Source!DE412</f>
        <v/>
      </c>
      <c r="H493" s="9">
        <f>Source!AV412</f>
        <v>1</v>
      </c>
      <c r="I493" s="9">
        <f>IF(Source!BB412&lt;&gt; 0, Source!BB412, 1)</f>
        <v>1</v>
      </c>
      <c r="J493" s="25">
        <f>Source!Q412</f>
        <v>2464.19</v>
      </c>
      <c r="K493" s="25"/>
    </row>
    <row r="494" spans="1:22" ht="14.25" x14ac:dyDescent="0.2">
      <c r="A494" s="20"/>
      <c r="B494" s="21"/>
      <c r="C494" s="21" t="s">
        <v>687</v>
      </c>
      <c r="D494" s="22"/>
      <c r="E494" s="9"/>
      <c r="F494" s="24">
        <f>Source!AN412</f>
        <v>161.78</v>
      </c>
      <c r="G494" s="23" t="str">
        <f>Source!DF412</f>
        <v/>
      </c>
      <c r="H494" s="9">
        <f>Source!AV412</f>
        <v>1</v>
      </c>
      <c r="I494" s="9">
        <f>IF(Source!BS412&lt;&gt; 0, Source!BS412, 1)</f>
        <v>1</v>
      </c>
      <c r="J494" s="27">
        <f>Source!R412</f>
        <v>1402.63</v>
      </c>
      <c r="K494" s="25"/>
    </row>
    <row r="495" spans="1:22" ht="14.25" x14ac:dyDescent="0.2">
      <c r="A495" s="20"/>
      <c r="B495" s="21"/>
      <c r="C495" s="21" t="s">
        <v>694</v>
      </c>
      <c r="D495" s="22"/>
      <c r="E495" s="9"/>
      <c r="F495" s="24">
        <f>Source!AL412</f>
        <v>661.67</v>
      </c>
      <c r="G495" s="23" t="str">
        <f>Source!DD412</f>
        <v/>
      </c>
      <c r="H495" s="9">
        <f>Source!AW412</f>
        <v>1</v>
      </c>
      <c r="I495" s="9">
        <f>IF(Source!BC412&lt;&gt; 0, Source!BC412, 1)</f>
        <v>1</v>
      </c>
      <c r="J495" s="25">
        <f>Source!P412</f>
        <v>5736.68</v>
      </c>
      <c r="K495" s="25"/>
    </row>
    <row r="496" spans="1:22" ht="14.25" x14ac:dyDescent="0.2">
      <c r="A496" s="20"/>
      <c r="B496" s="21"/>
      <c r="C496" s="21" t="s">
        <v>688</v>
      </c>
      <c r="D496" s="22" t="s">
        <v>689</v>
      </c>
      <c r="E496" s="9">
        <f>Source!AT412</f>
        <v>70</v>
      </c>
      <c r="F496" s="24"/>
      <c r="G496" s="23"/>
      <c r="H496" s="9"/>
      <c r="I496" s="9"/>
      <c r="J496" s="25">
        <f>SUM(R491:R495)</f>
        <v>4312.63</v>
      </c>
      <c r="K496" s="25"/>
    </row>
    <row r="497" spans="1:22" ht="14.25" x14ac:dyDescent="0.2">
      <c r="A497" s="20"/>
      <c r="B497" s="21"/>
      <c r="C497" s="21" t="s">
        <v>690</v>
      </c>
      <c r="D497" s="22" t="s">
        <v>689</v>
      </c>
      <c r="E497" s="9">
        <f>Source!AU412</f>
        <v>10</v>
      </c>
      <c r="F497" s="24"/>
      <c r="G497" s="23"/>
      <c r="H497" s="9"/>
      <c r="I497" s="9"/>
      <c r="J497" s="25">
        <f>SUM(T491:T496)</f>
        <v>616.09</v>
      </c>
      <c r="K497" s="25"/>
    </row>
    <row r="498" spans="1:22" ht="14.25" x14ac:dyDescent="0.2">
      <c r="A498" s="20"/>
      <c r="B498" s="21"/>
      <c r="C498" s="21" t="s">
        <v>691</v>
      </c>
      <c r="D498" s="22" t="s">
        <v>689</v>
      </c>
      <c r="E498" s="9">
        <f>108</f>
        <v>108</v>
      </c>
      <c r="F498" s="24"/>
      <c r="G498" s="23"/>
      <c r="H498" s="9"/>
      <c r="I498" s="9"/>
      <c r="J498" s="25">
        <f>SUM(V491:V497)</f>
        <v>1514.84</v>
      </c>
      <c r="K498" s="25"/>
    </row>
    <row r="499" spans="1:22" ht="14.25" x14ac:dyDescent="0.2">
      <c r="A499" s="20"/>
      <c r="B499" s="21"/>
      <c r="C499" s="21" t="s">
        <v>692</v>
      </c>
      <c r="D499" s="22" t="s">
        <v>693</v>
      </c>
      <c r="E499" s="9">
        <f>Source!AQ412</f>
        <v>3.44</v>
      </c>
      <c r="F499" s="24"/>
      <c r="G499" s="23" t="str">
        <f>Source!DI412</f>
        <v/>
      </c>
      <c r="H499" s="9">
        <f>Source!AV412</f>
        <v>1</v>
      </c>
      <c r="I499" s="9"/>
      <c r="J499" s="25"/>
      <c r="K499" s="25">
        <f>Source!U412</f>
        <v>29.8248</v>
      </c>
    </row>
    <row r="500" spans="1:22" ht="15" x14ac:dyDescent="0.25">
      <c r="A500" s="30"/>
      <c r="B500" s="30"/>
      <c r="C500" s="30"/>
      <c r="D500" s="30"/>
      <c r="E500" s="30"/>
      <c r="F500" s="30"/>
      <c r="G500" s="30"/>
      <c r="H500" s="30"/>
      <c r="I500" s="65">
        <f>J492+J493+J495+J496+J497+J498</f>
        <v>20805.330000000002</v>
      </c>
      <c r="J500" s="65"/>
      <c r="K500" s="31">
        <f>IF(Source!I412&lt;&gt;0, ROUND(I500/Source!I412, 2), 0)</f>
        <v>2399.69</v>
      </c>
      <c r="P500" s="28">
        <f>I500</f>
        <v>20805.330000000002</v>
      </c>
    </row>
    <row r="501" spans="1:22" ht="28.5" x14ac:dyDescent="0.2">
      <c r="A501" s="20" t="str">
        <f>Source!E413</f>
        <v>43</v>
      </c>
      <c r="B501" s="21" t="str">
        <f>Source!F413</f>
        <v>5.3-5202-5-1/1</v>
      </c>
      <c r="C501" s="21" t="str">
        <f>Source!G413</f>
        <v>Устройство бетонного поребрика на бетонном основании</v>
      </c>
      <c r="D501" s="22" t="str">
        <f>Source!DW413</f>
        <v>м</v>
      </c>
      <c r="E501" s="9">
        <f>Source!I413</f>
        <v>57.8</v>
      </c>
      <c r="F501" s="24"/>
      <c r="G501" s="23"/>
      <c r="H501" s="9"/>
      <c r="I501" s="9"/>
      <c r="J501" s="25"/>
      <c r="K501" s="25"/>
      <c r="Q501">
        <f>ROUND((Source!BZ413/100)*ROUND((Source!AF413*Source!AV413)*Source!I413, 2), 2)</f>
        <v>11631.44</v>
      </c>
      <c r="R501">
        <f>Source!X413</f>
        <v>11631.44</v>
      </c>
      <c r="S501">
        <f>ROUND((Source!CA413/100)*ROUND((Source!AF413*Source!AV413)*Source!I413, 2), 2)</f>
        <v>1661.63</v>
      </c>
      <c r="T501">
        <f>Source!Y413</f>
        <v>1661.63</v>
      </c>
      <c r="U501">
        <f>ROUND((175/100)*ROUND((Source!AE413*Source!AV413)*Source!I413, 2), 2)</f>
        <v>0</v>
      </c>
      <c r="V501">
        <f>ROUND((108/100)*ROUND(Source!CS413*Source!I413, 2), 2)</f>
        <v>0</v>
      </c>
    </row>
    <row r="502" spans="1:22" ht="14.25" x14ac:dyDescent="0.2">
      <c r="A502" s="20"/>
      <c r="B502" s="21"/>
      <c r="C502" s="21" t="s">
        <v>685</v>
      </c>
      <c r="D502" s="22"/>
      <c r="E502" s="9"/>
      <c r="F502" s="24">
        <f>Source!AO413</f>
        <v>287.48</v>
      </c>
      <c r="G502" s="23" t="str">
        <f>Source!DG413</f>
        <v/>
      </c>
      <c r="H502" s="9">
        <f>Source!AV413</f>
        <v>1</v>
      </c>
      <c r="I502" s="9">
        <f>IF(Source!BA413&lt;&gt; 0, Source!BA413, 1)</f>
        <v>1</v>
      </c>
      <c r="J502" s="25">
        <f>Source!S413</f>
        <v>16616.34</v>
      </c>
      <c r="K502" s="25"/>
    </row>
    <row r="503" spans="1:22" ht="14.25" x14ac:dyDescent="0.2">
      <c r="A503" s="20"/>
      <c r="B503" s="21"/>
      <c r="C503" s="21" t="s">
        <v>694</v>
      </c>
      <c r="D503" s="22"/>
      <c r="E503" s="9"/>
      <c r="F503" s="24">
        <f>Source!AL413</f>
        <v>300.83</v>
      </c>
      <c r="G503" s="23" t="str">
        <f>Source!DD413</f>
        <v/>
      </c>
      <c r="H503" s="9">
        <f>Source!AW413</f>
        <v>1</v>
      </c>
      <c r="I503" s="9">
        <f>IF(Source!BC413&lt;&gt; 0, Source!BC413, 1)</f>
        <v>1</v>
      </c>
      <c r="J503" s="25">
        <f>Source!P413</f>
        <v>17387.97</v>
      </c>
      <c r="K503" s="25"/>
    </row>
    <row r="504" spans="1:22" ht="28.5" x14ac:dyDescent="0.2">
      <c r="A504" s="20" t="str">
        <f>Source!E414</f>
        <v>43,1</v>
      </c>
      <c r="B504" s="21" t="str">
        <f>Source!F414</f>
        <v>21.5-3-12</v>
      </c>
      <c r="C504" s="21" t="str">
        <f>Source!G414</f>
        <v>Камни бетонные бортовые, марка БР60.20.8</v>
      </c>
      <c r="D504" s="22" t="str">
        <f>Source!DW414</f>
        <v>м3</v>
      </c>
      <c r="E504" s="9">
        <f>Source!I414</f>
        <v>0.57799999999999996</v>
      </c>
      <c r="F504" s="24">
        <f>Source!AK414</f>
        <v>9014.9</v>
      </c>
      <c r="G504" s="34" t="s">
        <v>3</v>
      </c>
      <c r="H504" s="9">
        <f>Source!AW414</f>
        <v>1</v>
      </c>
      <c r="I504" s="9">
        <f>IF(Source!BC414&lt;&gt; 0, Source!BC414, 1)</f>
        <v>1</v>
      </c>
      <c r="J504" s="25">
        <f>Source!O414</f>
        <v>5210.6099999999997</v>
      </c>
      <c r="K504" s="25"/>
      <c r="Q504">
        <f>ROUND((Source!BZ414/100)*ROUND((Source!AF414*Source!AV414)*Source!I414, 2), 2)</f>
        <v>0</v>
      </c>
      <c r="R504">
        <f>Source!X414</f>
        <v>0</v>
      </c>
      <c r="S504">
        <f>ROUND((Source!CA414/100)*ROUND((Source!AF414*Source!AV414)*Source!I414, 2), 2)</f>
        <v>0</v>
      </c>
      <c r="T504">
        <f>Source!Y414</f>
        <v>0</v>
      </c>
      <c r="U504">
        <f>ROUND((175/100)*ROUND((Source!AE414*Source!AV414)*Source!I414, 2), 2)</f>
        <v>0</v>
      </c>
      <c r="V504">
        <f>ROUND((108/100)*ROUND(Source!CS414*Source!I414, 2), 2)</f>
        <v>0</v>
      </c>
    </row>
    <row r="505" spans="1:22" ht="14.25" x14ac:dyDescent="0.2">
      <c r="A505" s="20"/>
      <c r="B505" s="21"/>
      <c r="C505" s="21" t="s">
        <v>688</v>
      </c>
      <c r="D505" s="22" t="s">
        <v>689</v>
      </c>
      <c r="E505" s="9">
        <f>Source!AT413</f>
        <v>70</v>
      </c>
      <c r="F505" s="24"/>
      <c r="G505" s="23"/>
      <c r="H505" s="9"/>
      <c r="I505" s="9"/>
      <c r="J505" s="25">
        <f>SUM(R501:R504)</f>
        <v>11631.44</v>
      </c>
      <c r="K505" s="25"/>
    </row>
    <row r="506" spans="1:22" ht="14.25" x14ac:dyDescent="0.2">
      <c r="A506" s="20"/>
      <c r="B506" s="21"/>
      <c r="C506" s="21" t="s">
        <v>690</v>
      </c>
      <c r="D506" s="22" t="s">
        <v>689</v>
      </c>
      <c r="E506" s="9">
        <f>Source!AU413</f>
        <v>10</v>
      </c>
      <c r="F506" s="24"/>
      <c r="G506" s="23"/>
      <c r="H506" s="9"/>
      <c r="I506" s="9"/>
      <c r="J506" s="25">
        <f>SUM(T501:T505)</f>
        <v>1661.63</v>
      </c>
      <c r="K506" s="25"/>
    </row>
    <row r="507" spans="1:22" ht="14.25" x14ac:dyDescent="0.2">
      <c r="A507" s="20"/>
      <c r="B507" s="21"/>
      <c r="C507" s="21" t="s">
        <v>692</v>
      </c>
      <c r="D507" s="22" t="s">
        <v>693</v>
      </c>
      <c r="E507" s="9">
        <f>Source!AQ413</f>
        <v>1.1499999999999999</v>
      </c>
      <c r="F507" s="24"/>
      <c r="G507" s="23" t="str">
        <f>Source!DI413</f>
        <v/>
      </c>
      <c r="H507" s="9">
        <f>Source!AV413</f>
        <v>1</v>
      </c>
      <c r="I507" s="9"/>
      <c r="J507" s="25"/>
      <c r="K507" s="25">
        <f>Source!U413</f>
        <v>66.469999999999985</v>
      </c>
    </row>
    <row r="508" spans="1:22" ht="15" x14ac:dyDescent="0.25">
      <c r="A508" s="30"/>
      <c r="B508" s="30"/>
      <c r="C508" s="30"/>
      <c r="D508" s="30"/>
      <c r="E508" s="30"/>
      <c r="F508" s="30"/>
      <c r="G508" s="30"/>
      <c r="H508" s="30"/>
      <c r="I508" s="65">
        <f>J502+J503+J505+J506+SUM(J504:J504)</f>
        <v>52507.99</v>
      </c>
      <c r="J508" s="65"/>
      <c r="K508" s="31">
        <f>IF(Source!I413&lt;&gt;0, ROUND(I508/Source!I413, 2), 0)</f>
        <v>908.44</v>
      </c>
      <c r="P508" s="28">
        <f>I508</f>
        <v>52507.99</v>
      </c>
    </row>
    <row r="509" spans="1:22" ht="28.5" x14ac:dyDescent="0.2">
      <c r="A509" s="20" t="str">
        <f>Source!E415</f>
        <v>44</v>
      </c>
      <c r="B509" s="21" t="str">
        <f>Source!F415</f>
        <v>1.10-3103-1-3/1</v>
      </c>
      <c r="C509" s="21" t="str">
        <f>Source!G415</f>
        <v>Устройство уплотняемых трамбовками подстилающих слоев щебеночных</v>
      </c>
      <c r="D509" s="22" t="str">
        <f>Source!DW415</f>
        <v>м3</v>
      </c>
      <c r="E509" s="9">
        <f>Source!I415</f>
        <v>6.5</v>
      </c>
      <c r="F509" s="24"/>
      <c r="G509" s="23"/>
      <c r="H509" s="9"/>
      <c r="I509" s="9"/>
      <c r="J509" s="25"/>
      <c r="K509" s="25"/>
      <c r="Q509">
        <f>ROUND((Source!BZ415/100)*ROUND((Source!AF415*Source!AV415)*Source!I415, 2), 2)</f>
        <v>3655.65</v>
      </c>
      <c r="R509">
        <f>Source!X415</f>
        <v>3655.65</v>
      </c>
      <c r="S509">
        <f>ROUND((Source!CA415/100)*ROUND((Source!AF415*Source!AV415)*Source!I415, 2), 2)</f>
        <v>522.24</v>
      </c>
      <c r="T509">
        <f>Source!Y415</f>
        <v>522.24</v>
      </c>
      <c r="U509">
        <f>ROUND((175/100)*ROUND((Source!AE415*Source!AV415)*Source!I415, 2), 2)</f>
        <v>7215.62</v>
      </c>
      <c r="V509">
        <f>ROUND((108/100)*ROUND(Source!CS415*Source!I415, 2), 2)</f>
        <v>4453.07</v>
      </c>
    </row>
    <row r="510" spans="1:22" ht="14.25" x14ac:dyDescent="0.2">
      <c r="A510" s="20"/>
      <c r="B510" s="21"/>
      <c r="C510" s="21" t="s">
        <v>685</v>
      </c>
      <c r="D510" s="22"/>
      <c r="E510" s="9"/>
      <c r="F510" s="24">
        <f>Source!AO415</f>
        <v>803.44</v>
      </c>
      <c r="G510" s="23" t="str">
        <f>Source!DG415</f>
        <v/>
      </c>
      <c r="H510" s="9">
        <f>Source!AV415</f>
        <v>1</v>
      </c>
      <c r="I510" s="9">
        <f>IF(Source!BA415&lt;&gt; 0, Source!BA415, 1)</f>
        <v>1</v>
      </c>
      <c r="J510" s="25">
        <f>Source!S415</f>
        <v>5222.3599999999997</v>
      </c>
      <c r="K510" s="25"/>
    </row>
    <row r="511" spans="1:22" ht="14.25" x14ac:dyDescent="0.2">
      <c r="A511" s="20"/>
      <c r="B511" s="21"/>
      <c r="C511" s="21" t="s">
        <v>686</v>
      </c>
      <c r="D511" s="22"/>
      <c r="E511" s="9"/>
      <c r="F511" s="24">
        <f>Source!AM415</f>
        <v>1114.45</v>
      </c>
      <c r="G511" s="23" t="str">
        <f>Source!DE415</f>
        <v/>
      </c>
      <c r="H511" s="9">
        <f>Source!AV415</f>
        <v>1</v>
      </c>
      <c r="I511" s="9">
        <f>IF(Source!BB415&lt;&gt; 0, Source!BB415, 1)</f>
        <v>1</v>
      </c>
      <c r="J511" s="25">
        <f>Source!Q415</f>
        <v>7243.93</v>
      </c>
      <c r="K511" s="25"/>
    </row>
    <row r="512" spans="1:22" ht="14.25" x14ac:dyDescent="0.2">
      <c r="A512" s="20"/>
      <c r="B512" s="21"/>
      <c r="C512" s="21" t="s">
        <v>687</v>
      </c>
      <c r="D512" s="22"/>
      <c r="E512" s="9"/>
      <c r="F512" s="24">
        <f>Source!AN415</f>
        <v>634.34</v>
      </c>
      <c r="G512" s="23" t="str">
        <f>Source!DF415</f>
        <v/>
      </c>
      <c r="H512" s="9">
        <f>Source!AV415</f>
        <v>1</v>
      </c>
      <c r="I512" s="9">
        <f>IF(Source!BS415&lt;&gt; 0, Source!BS415, 1)</f>
        <v>1</v>
      </c>
      <c r="J512" s="27">
        <f>Source!R415</f>
        <v>4123.21</v>
      </c>
      <c r="K512" s="25"/>
    </row>
    <row r="513" spans="1:22" ht="14.25" x14ac:dyDescent="0.2">
      <c r="A513" s="20"/>
      <c r="B513" s="21"/>
      <c r="C513" s="21" t="s">
        <v>694</v>
      </c>
      <c r="D513" s="22"/>
      <c r="E513" s="9"/>
      <c r="F513" s="24">
        <f>Source!AL415</f>
        <v>1628.86</v>
      </c>
      <c r="G513" s="23" t="str">
        <f>Source!DD415</f>
        <v/>
      </c>
      <c r="H513" s="9">
        <f>Source!AW415</f>
        <v>1</v>
      </c>
      <c r="I513" s="9">
        <f>IF(Source!BC415&lt;&gt; 0, Source!BC415, 1)</f>
        <v>1</v>
      </c>
      <c r="J513" s="25">
        <f>Source!P415</f>
        <v>10587.59</v>
      </c>
      <c r="K513" s="25"/>
    </row>
    <row r="514" spans="1:22" ht="14.25" x14ac:dyDescent="0.2">
      <c r="A514" s="20"/>
      <c r="B514" s="21"/>
      <c r="C514" s="21" t="s">
        <v>688</v>
      </c>
      <c r="D514" s="22" t="s">
        <v>689</v>
      </c>
      <c r="E514" s="9">
        <f>Source!AT415</f>
        <v>70</v>
      </c>
      <c r="F514" s="24"/>
      <c r="G514" s="23"/>
      <c r="H514" s="9"/>
      <c r="I514" s="9"/>
      <c r="J514" s="25">
        <f>SUM(R509:R513)</f>
        <v>3655.65</v>
      </c>
      <c r="K514" s="25"/>
    </row>
    <row r="515" spans="1:22" ht="14.25" x14ac:dyDescent="0.2">
      <c r="A515" s="20"/>
      <c r="B515" s="21"/>
      <c r="C515" s="21" t="s">
        <v>690</v>
      </c>
      <c r="D515" s="22" t="s">
        <v>689</v>
      </c>
      <c r="E515" s="9">
        <f>Source!AU415</f>
        <v>10</v>
      </c>
      <c r="F515" s="24"/>
      <c r="G515" s="23"/>
      <c r="H515" s="9"/>
      <c r="I515" s="9"/>
      <c r="J515" s="25">
        <f>SUM(T509:T514)</f>
        <v>522.24</v>
      </c>
      <c r="K515" s="25"/>
    </row>
    <row r="516" spans="1:22" ht="14.25" x14ac:dyDescent="0.2">
      <c r="A516" s="20"/>
      <c r="B516" s="21"/>
      <c r="C516" s="21" t="s">
        <v>691</v>
      </c>
      <c r="D516" s="22" t="s">
        <v>689</v>
      </c>
      <c r="E516" s="9">
        <f>108</f>
        <v>108</v>
      </c>
      <c r="F516" s="24"/>
      <c r="G516" s="23"/>
      <c r="H516" s="9"/>
      <c r="I516" s="9"/>
      <c r="J516" s="25">
        <f>SUM(V509:V515)</f>
        <v>4453.07</v>
      </c>
      <c r="K516" s="25"/>
    </row>
    <row r="517" spans="1:22" ht="14.25" x14ac:dyDescent="0.2">
      <c r="A517" s="20"/>
      <c r="B517" s="21"/>
      <c r="C517" s="21" t="s">
        <v>692</v>
      </c>
      <c r="D517" s="22" t="s">
        <v>693</v>
      </c>
      <c r="E517" s="9">
        <f>Source!AQ415</f>
        <v>3.73</v>
      </c>
      <c r="F517" s="24"/>
      <c r="G517" s="23" t="str">
        <f>Source!DI415</f>
        <v/>
      </c>
      <c r="H517" s="9">
        <f>Source!AV415</f>
        <v>1</v>
      </c>
      <c r="I517" s="9"/>
      <c r="J517" s="25"/>
      <c r="K517" s="25">
        <f>Source!U415</f>
        <v>24.245000000000001</v>
      </c>
    </row>
    <row r="518" spans="1:22" ht="15" x14ac:dyDescent="0.25">
      <c r="A518" s="30"/>
      <c r="B518" s="30"/>
      <c r="C518" s="30"/>
      <c r="D518" s="30"/>
      <c r="E518" s="30"/>
      <c r="F518" s="30"/>
      <c r="G518" s="30"/>
      <c r="H518" s="30"/>
      <c r="I518" s="65">
        <f>J510+J511+J513+J514+J515+J516</f>
        <v>31684.840000000004</v>
      </c>
      <c r="J518" s="65"/>
      <c r="K518" s="31">
        <f>IF(Source!I415&lt;&gt;0, ROUND(I518/Source!I415, 2), 0)</f>
        <v>4874.59</v>
      </c>
      <c r="P518" s="28">
        <f>I518</f>
        <v>31684.840000000004</v>
      </c>
    </row>
    <row r="519" spans="1:22" ht="57" x14ac:dyDescent="0.2">
      <c r="A519" s="20" t="str">
        <f>Source!E416</f>
        <v>45</v>
      </c>
      <c r="B519" s="21" t="str">
        <f>Source!F416</f>
        <v>1.10-3303-2-3/1</v>
      </c>
      <c r="C519" s="21" t="str">
        <f>Source!G416</f>
        <v>Устройство покрытий из асфальтобетонных горячих мелкозернистых смесей, марка II, тип В,  толщиной 25 мм</v>
      </c>
      <c r="D519" s="22" t="str">
        <f>Source!DW416</f>
        <v>100 м2</v>
      </c>
      <c r="E519" s="9">
        <f>Source!I416</f>
        <v>0.4335</v>
      </c>
      <c r="F519" s="24"/>
      <c r="G519" s="23"/>
      <c r="H519" s="9"/>
      <c r="I519" s="9"/>
      <c r="J519" s="25"/>
      <c r="K519" s="25"/>
      <c r="Q519">
        <f>ROUND((Source!BZ416/100)*ROUND((Source!AF416*Source!AV416)*Source!I416, 2), 2)</f>
        <v>987.17</v>
      </c>
      <c r="R519">
        <f>Source!X416</f>
        <v>987.17</v>
      </c>
      <c r="S519">
        <f>ROUND((Source!CA416/100)*ROUND((Source!AF416*Source!AV416)*Source!I416, 2), 2)</f>
        <v>141.02000000000001</v>
      </c>
      <c r="T519">
        <f>Source!Y416</f>
        <v>141.02000000000001</v>
      </c>
      <c r="U519">
        <f>ROUND((175/100)*ROUND((Source!AE416*Source!AV416)*Source!I416, 2), 2)</f>
        <v>916.44</v>
      </c>
      <c r="V519">
        <f>ROUND((108/100)*ROUND(Source!CS416*Source!I416, 2), 2)</f>
        <v>565.57000000000005</v>
      </c>
    </row>
    <row r="520" spans="1:22" x14ac:dyDescent="0.2">
      <c r="C520" s="26" t="str">
        <f>"Объем: "&amp;Source!I416&amp;"=43,35/"&amp;"100"</f>
        <v>Объем: 0,4335=43,35/100</v>
      </c>
    </row>
    <row r="521" spans="1:22" ht="14.25" x14ac:dyDescent="0.2">
      <c r="A521" s="20"/>
      <c r="B521" s="21"/>
      <c r="C521" s="21" t="s">
        <v>685</v>
      </c>
      <c r="D521" s="22"/>
      <c r="E521" s="9"/>
      <c r="F521" s="24">
        <f>Source!AO416</f>
        <v>3253.15</v>
      </c>
      <c r="G521" s="23" t="str">
        <f>Source!DG416</f>
        <v/>
      </c>
      <c r="H521" s="9">
        <f>Source!AV416</f>
        <v>1</v>
      </c>
      <c r="I521" s="9">
        <f>IF(Source!BA416&lt;&gt; 0, Source!BA416, 1)</f>
        <v>1</v>
      </c>
      <c r="J521" s="25">
        <f>Source!S416</f>
        <v>1410.24</v>
      </c>
      <c r="K521" s="25"/>
    </row>
    <row r="522" spans="1:22" ht="14.25" x14ac:dyDescent="0.2">
      <c r="A522" s="20"/>
      <c r="B522" s="21"/>
      <c r="C522" s="21" t="s">
        <v>686</v>
      </c>
      <c r="D522" s="22"/>
      <c r="E522" s="9"/>
      <c r="F522" s="24">
        <f>Source!AM416</f>
        <v>2014.79</v>
      </c>
      <c r="G522" s="23" t="str">
        <f>Source!DE416</f>
        <v/>
      </c>
      <c r="H522" s="9">
        <f>Source!AV416</f>
        <v>1</v>
      </c>
      <c r="I522" s="9">
        <f>IF(Source!BB416&lt;&gt; 0, Source!BB416, 1)</f>
        <v>1</v>
      </c>
      <c r="J522" s="25">
        <f>Source!Q416</f>
        <v>873.41</v>
      </c>
      <c r="K522" s="25"/>
    </row>
    <row r="523" spans="1:22" ht="14.25" x14ac:dyDescent="0.2">
      <c r="A523" s="20"/>
      <c r="B523" s="21"/>
      <c r="C523" s="21" t="s">
        <v>687</v>
      </c>
      <c r="D523" s="22"/>
      <c r="E523" s="9"/>
      <c r="F523" s="24">
        <f>Source!AN416</f>
        <v>1208.03</v>
      </c>
      <c r="G523" s="23" t="str">
        <f>Source!DF416</f>
        <v/>
      </c>
      <c r="H523" s="9">
        <f>Source!AV416</f>
        <v>1</v>
      </c>
      <c r="I523" s="9">
        <f>IF(Source!BS416&lt;&gt; 0, Source!BS416, 1)</f>
        <v>1</v>
      </c>
      <c r="J523" s="27">
        <f>Source!R416</f>
        <v>523.67999999999995</v>
      </c>
      <c r="K523" s="25"/>
    </row>
    <row r="524" spans="1:22" ht="14.25" x14ac:dyDescent="0.2">
      <c r="A524" s="20"/>
      <c r="B524" s="21"/>
      <c r="C524" s="21" t="s">
        <v>694</v>
      </c>
      <c r="D524" s="22"/>
      <c r="E524" s="9"/>
      <c r="F524" s="24">
        <f>Source!AL416</f>
        <v>17411.05</v>
      </c>
      <c r="G524" s="23" t="str">
        <f>Source!DD416</f>
        <v/>
      </c>
      <c r="H524" s="9">
        <f>Source!AW416</f>
        <v>1</v>
      </c>
      <c r="I524" s="9">
        <f>IF(Source!BC416&lt;&gt; 0, Source!BC416, 1)</f>
        <v>1</v>
      </c>
      <c r="J524" s="25">
        <f>Source!P416</f>
        <v>7547.69</v>
      </c>
      <c r="K524" s="25"/>
    </row>
    <row r="525" spans="1:22" ht="14.25" x14ac:dyDescent="0.2">
      <c r="A525" s="20"/>
      <c r="B525" s="21"/>
      <c r="C525" s="21" t="s">
        <v>688</v>
      </c>
      <c r="D525" s="22" t="s">
        <v>689</v>
      </c>
      <c r="E525" s="9">
        <f>Source!AT416</f>
        <v>70</v>
      </c>
      <c r="F525" s="24"/>
      <c r="G525" s="23"/>
      <c r="H525" s="9"/>
      <c r="I525" s="9"/>
      <c r="J525" s="25">
        <f>SUM(R519:R524)</f>
        <v>987.17</v>
      </c>
      <c r="K525" s="25"/>
    </row>
    <row r="526" spans="1:22" ht="14.25" x14ac:dyDescent="0.2">
      <c r="A526" s="20"/>
      <c r="B526" s="21"/>
      <c r="C526" s="21" t="s">
        <v>690</v>
      </c>
      <c r="D526" s="22" t="s">
        <v>689</v>
      </c>
      <c r="E526" s="9">
        <f>Source!AU416</f>
        <v>10</v>
      </c>
      <c r="F526" s="24"/>
      <c r="G526" s="23"/>
      <c r="H526" s="9"/>
      <c r="I526" s="9"/>
      <c r="J526" s="25">
        <f>SUM(T519:T525)</f>
        <v>141.02000000000001</v>
      </c>
      <c r="K526" s="25"/>
    </row>
    <row r="527" spans="1:22" ht="14.25" x14ac:dyDescent="0.2">
      <c r="A527" s="20"/>
      <c r="B527" s="21"/>
      <c r="C527" s="21" t="s">
        <v>691</v>
      </c>
      <c r="D527" s="22" t="s">
        <v>689</v>
      </c>
      <c r="E527" s="9">
        <f>108</f>
        <v>108</v>
      </c>
      <c r="F527" s="24"/>
      <c r="G527" s="23"/>
      <c r="H527" s="9"/>
      <c r="I527" s="9"/>
      <c r="J527" s="25">
        <f>SUM(V519:V526)</f>
        <v>565.57000000000005</v>
      </c>
      <c r="K527" s="25"/>
    </row>
    <row r="528" spans="1:22" ht="14.25" x14ac:dyDescent="0.2">
      <c r="A528" s="20"/>
      <c r="B528" s="21"/>
      <c r="C528" s="21" t="s">
        <v>692</v>
      </c>
      <c r="D528" s="22" t="s">
        <v>693</v>
      </c>
      <c r="E528" s="9">
        <f>Source!AQ416</f>
        <v>16.440000000000001</v>
      </c>
      <c r="F528" s="24"/>
      <c r="G528" s="23" t="str">
        <f>Source!DI416</f>
        <v/>
      </c>
      <c r="H528" s="9">
        <f>Source!AV416</f>
        <v>1</v>
      </c>
      <c r="I528" s="9"/>
      <c r="J528" s="25"/>
      <c r="K528" s="25">
        <f>Source!U416</f>
        <v>7.1267400000000007</v>
      </c>
    </row>
    <row r="529" spans="1:22" ht="15" x14ac:dyDescent="0.25">
      <c r="A529" s="30"/>
      <c r="B529" s="30"/>
      <c r="C529" s="30"/>
      <c r="D529" s="30"/>
      <c r="E529" s="30"/>
      <c r="F529" s="30"/>
      <c r="G529" s="30"/>
      <c r="H529" s="30"/>
      <c r="I529" s="65">
        <f>J521+J522+J524+J525+J526+J527</f>
        <v>11525.1</v>
      </c>
      <c r="J529" s="65"/>
      <c r="K529" s="31">
        <f>IF(Source!I416&lt;&gt;0, ROUND(I529/Source!I416, 2), 0)</f>
        <v>26586.16</v>
      </c>
      <c r="P529" s="28">
        <f>I529</f>
        <v>11525.1</v>
      </c>
    </row>
    <row r="530" spans="1:22" ht="28.5" x14ac:dyDescent="0.2">
      <c r="A530" s="20" t="str">
        <f>Source!E417</f>
        <v>46</v>
      </c>
      <c r="B530" s="21" t="str">
        <f>Source!F417</f>
        <v>1.10-3303-2-4/1</v>
      </c>
      <c r="C530" s="21" t="str">
        <f>Source!G417</f>
        <v>Добавлять или исключать на 5 мм изменения толщины к поз.10-3303-2-3</v>
      </c>
      <c r="D530" s="22" t="str">
        <f>Source!DW417</f>
        <v>100 м2</v>
      </c>
      <c r="E530" s="9">
        <f>Source!I417</f>
        <v>0.4335</v>
      </c>
      <c r="F530" s="24"/>
      <c r="G530" s="23"/>
      <c r="H530" s="9"/>
      <c r="I530" s="9"/>
      <c r="J530" s="25"/>
      <c r="K530" s="25"/>
      <c r="Q530">
        <f>ROUND((Source!BZ417/100)*ROUND((Source!AF417*Source!AV417)*Source!I417, 2), 2)</f>
        <v>131.19999999999999</v>
      </c>
      <c r="R530">
        <f>Source!X417</f>
        <v>131.19999999999999</v>
      </c>
      <c r="S530">
        <f>ROUND((Source!CA417/100)*ROUND((Source!AF417*Source!AV417)*Source!I417, 2), 2)</f>
        <v>18.739999999999998</v>
      </c>
      <c r="T530">
        <f>Source!Y417</f>
        <v>18.739999999999998</v>
      </c>
      <c r="U530">
        <f>ROUND((175/100)*ROUND((Source!AE417*Source!AV417)*Source!I417, 2), 2)</f>
        <v>45.48</v>
      </c>
      <c r="V530">
        <f>ROUND((108/100)*ROUND(Source!CS417*Source!I417, 2), 2)</f>
        <v>28.07</v>
      </c>
    </row>
    <row r="531" spans="1:22" x14ac:dyDescent="0.2">
      <c r="C531" s="26" t="str">
        <f>"Объем: "&amp;Source!I417&amp;"=43,35/"&amp;"100"</f>
        <v>Объем: 0,4335=43,35/100</v>
      </c>
    </row>
    <row r="532" spans="1:22" ht="14.25" x14ac:dyDescent="0.2">
      <c r="A532" s="20"/>
      <c r="B532" s="21"/>
      <c r="C532" s="21" t="s">
        <v>685</v>
      </c>
      <c r="D532" s="22"/>
      <c r="E532" s="9"/>
      <c r="F532" s="24">
        <f>Source!AO417</f>
        <v>432.36</v>
      </c>
      <c r="G532" s="23" t="str">
        <f>Source!DG417</f>
        <v/>
      </c>
      <c r="H532" s="9">
        <f>Source!AV417</f>
        <v>1</v>
      </c>
      <c r="I532" s="9">
        <f>IF(Source!BA417&lt;&gt; 0, Source!BA417, 1)</f>
        <v>1</v>
      </c>
      <c r="J532" s="25">
        <f>Source!S417</f>
        <v>187.43</v>
      </c>
      <c r="K532" s="25"/>
    </row>
    <row r="533" spans="1:22" ht="14.25" x14ac:dyDescent="0.2">
      <c r="A533" s="20"/>
      <c r="B533" s="21"/>
      <c r="C533" s="21" t="s">
        <v>686</v>
      </c>
      <c r="D533" s="22"/>
      <c r="E533" s="9"/>
      <c r="F533" s="24">
        <f>Source!AM417</f>
        <v>105.24</v>
      </c>
      <c r="G533" s="23" t="str">
        <f>Source!DE417</f>
        <v/>
      </c>
      <c r="H533" s="9">
        <f>Source!AV417</f>
        <v>1</v>
      </c>
      <c r="I533" s="9">
        <f>IF(Source!BB417&lt;&gt; 0, Source!BB417, 1)</f>
        <v>1</v>
      </c>
      <c r="J533" s="25">
        <f>Source!Q417</f>
        <v>45.62</v>
      </c>
      <c r="K533" s="25"/>
    </row>
    <row r="534" spans="1:22" ht="14.25" x14ac:dyDescent="0.2">
      <c r="A534" s="20"/>
      <c r="B534" s="21"/>
      <c r="C534" s="21" t="s">
        <v>687</v>
      </c>
      <c r="D534" s="22"/>
      <c r="E534" s="9"/>
      <c r="F534" s="24">
        <f>Source!AN417</f>
        <v>59.96</v>
      </c>
      <c r="G534" s="23" t="str">
        <f>Source!DF417</f>
        <v/>
      </c>
      <c r="H534" s="9">
        <f>Source!AV417</f>
        <v>1</v>
      </c>
      <c r="I534" s="9">
        <f>IF(Source!BS417&lt;&gt; 0, Source!BS417, 1)</f>
        <v>1</v>
      </c>
      <c r="J534" s="27">
        <f>Source!R417</f>
        <v>25.99</v>
      </c>
      <c r="K534" s="25"/>
    </row>
    <row r="535" spans="1:22" ht="14.25" x14ac:dyDescent="0.2">
      <c r="A535" s="20"/>
      <c r="B535" s="21"/>
      <c r="C535" s="21" t="s">
        <v>694</v>
      </c>
      <c r="D535" s="22"/>
      <c r="E535" s="9"/>
      <c r="F535" s="24">
        <f>Source!AL417</f>
        <v>2972.84</v>
      </c>
      <c r="G535" s="23" t="str">
        <f>Source!DD417</f>
        <v/>
      </c>
      <c r="H535" s="9">
        <f>Source!AW417</f>
        <v>1</v>
      </c>
      <c r="I535" s="9">
        <f>IF(Source!BC417&lt;&gt; 0, Source!BC417, 1)</f>
        <v>1</v>
      </c>
      <c r="J535" s="25">
        <f>Source!P417</f>
        <v>1288.73</v>
      </c>
      <c r="K535" s="25"/>
    </row>
    <row r="536" spans="1:22" ht="14.25" x14ac:dyDescent="0.2">
      <c r="A536" s="20"/>
      <c r="B536" s="21"/>
      <c r="C536" s="21" t="s">
        <v>688</v>
      </c>
      <c r="D536" s="22" t="s">
        <v>689</v>
      </c>
      <c r="E536" s="9">
        <f>Source!AT417</f>
        <v>70</v>
      </c>
      <c r="F536" s="24"/>
      <c r="G536" s="23"/>
      <c r="H536" s="9"/>
      <c r="I536" s="9"/>
      <c r="J536" s="25">
        <f>SUM(R530:R535)</f>
        <v>131.19999999999999</v>
      </c>
      <c r="K536" s="25"/>
    </row>
    <row r="537" spans="1:22" ht="14.25" x14ac:dyDescent="0.2">
      <c r="A537" s="20"/>
      <c r="B537" s="21"/>
      <c r="C537" s="21" t="s">
        <v>690</v>
      </c>
      <c r="D537" s="22" t="s">
        <v>689</v>
      </c>
      <c r="E537" s="9">
        <f>Source!AU417</f>
        <v>10</v>
      </c>
      <c r="F537" s="24"/>
      <c r="G537" s="23"/>
      <c r="H537" s="9"/>
      <c r="I537" s="9"/>
      <c r="J537" s="25">
        <f>SUM(T530:T536)</f>
        <v>18.739999999999998</v>
      </c>
      <c r="K537" s="25"/>
    </row>
    <row r="538" spans="1:22" ht="14.25" x14ac:dyDescent="0.2">
      <c r="A538" s="20"/>
      <c r="B538" s="21"/>
      <c r="C538" s="21" t="s">
        <v>691</v>
      </c>
      <c r="D538" s="22" t="s">
        <v>689</v>
      </c>
      <c r="E538" s="9">
        <f>108</f>
        <v>108</v>
      </c>
      <c r="F538" s="24"/>
      <c r="G538" s="23"/>
      <c r="H538" s="9"/>
      <c r="I538" s="9"/>
      <c r="J538" s="25">
        <f>SUM(V530:V537)</f>
        <v>28.07</v>
      </c>
      <c r="K538" s="25"/>
    </row>
    <row r="539" spans="1:22" ht="14.25" x14ac:dyDescent="0.2">
      <c r="A539" s="20"/>
      <c r="B539" s="21"/>
      <c r="C539" s="21" t="s">
        <v>692</v>
      </c>
      <c r="D539" s="22" t="s">
        <v>693</v>
      </c>
      <c r="E539" s="9">
        <f>Source!AQ417</f>
        <v>2.31</v>
      </c>
      <c r="F539" s="24"/>
      <c r="G539" s="23" t="str">
        <f>Source!DI417</f>
        <v/>
      </c>
      <c r="H539" s="9">
        <f>Source!AV417</f>
        <v>1</v>
      </c>
      <c r="I539" s="9"/>
      <c r="J539" s="25"/>
      <c r="K539" s="25">
        <f>Source!U417</f>
        <v>1.001385</v>
      </c>
    </row>
    <row r="540" spans="1:22" ht="15" x14ac:dyDescent="0.25">
      <c r="A540" s="30"/>
      <c r="B540" s="30"/>
      <c r="C540" s="30"/>
      <c r="D540" s="30"/>
      <c r="E540" s="30"/>
      <c r="F540" s="30"/>
      <c r="G540" s="30"/>
      <c r="H540" s="30"/>
      <c r="I540" s="65">
        <f>J532+J533+J535+J536+J537+J538</f>
        <v>1699.79</v>
      </c>
      <c r="J540" s="65"/>
      <c r="K540" s="31">
        <f>IF(Source!I417&lt;&gt;0, ROUND(I540/Source!I417, 2), 0)</f>
        <v>3921.08</v>
      </c>
      <c r="P540" s="28">
        <f>I540</f>
        <v>1699.79</v>
      </c>
    </row>
    <row r="542" spans="1:22" ht="15" x14ac:dyDescent="0.25">
      <c r="A542" s="69" t="str">
        <f>CONCATENATE("Итого по подразделу: ",IF(Source!G419&lt;&gt;"Новый подраздел", Source!G419, ""))</f>
        <v>Итого по подразделу: Строительные работы</v>
      </c>
      <c r="B542" s="69"/>
      <c r="C542" s="69"/>
      <c r="D542" s="69"/>
      <c r="E542" s="69"/>
      <c r="F542" s="69"/>
      <c r="G542" s="69"/>
      <c r="H542" s="69"/>
      <c r="I542" s="66">
        <f>SUM(P473:P541)</f>
        <v>128606.51</v>
      </c>
      <c r="J542" s="67"/>
      <c r="K542" s="33"/>
    </row>
    <row r="545" spans="1:22" ht="15" x14ac:dyDescent="0.25">
      <c r="A545" s="69" t="str">
        <f>CONCATENATE("Итого по разделу: ",IF(Source!G449&lt;&gt;"Новый раздел", Source!G449, ""))</f>
        <v>Итого по разделу: Дорожки до веранд</v>
      </c>
      <c r="B545" s="69"/>
      <c r="C545" s="69"/>
      <c r="D545" s="69"/>
      <c r="E545" s="69"/>
      <c r="F545" s="69"/>
      <c r="G545" s="69"/>
      <c r="H545" s="69"/>
      <c r="I545" s="66">
        <f>SUM(P471:P544)</f>
        <v>128606.51</v>
      </c>
      <c r="J545" s="67"/>
      <c r="K545" s="33"/>
    </row>
    <row r="548" spans="1:22" ht="16.5" x14ac:dyDescent="0.25">
      <c r="A548" s="68" t="str">
        <f>CONCATENATE("Раздел: ",IF(Source!G479&lt;&gt;"Новый раздел", Source!G479, ""))</f>
        <v>Раздел: Забор</v>
      </c>
      <c r="B548" s="68"/>
      <c r="C548" s="68"/>
      <c r="D548" s="68"/>
      <c r="E548" s="68"/>
      <c r="F548" s="68"/>
      <c r="G548" s="68"/>
      <c r="H548" s="68"/>
      <c r="I548" s="68"/>
      <c r="J548" s="68"/>
      <c r="K548" s="68"/>
    </row>
    <row r="550" spans="1:22" ht="16.5" x14ac:dyDescent="0.25">
      <c r="A550" s="68" t="str">
        <f>CONCATENATE("Подраздел: ",IF(Source!G483&lt;&gt;"Новый подраздел", Source!G483, ""))</f>
        <v>Подраздел: Демонтажные работы</v>
      </c>
      <c r="B550" s="68"/>
      <c r="C550" s="68"/>
      <c r="D550" s="68"/>
      <c r="E550" s="68"/>
      <c r="F550" s="68"/>
      <c r="G550" s="68"/>
      <c r="H550" s="68"/>
      <c r="I550" s="68"/>
      <c r="J550" s="68"/>
      <c r="K550" s="68"/>
    </row>
    <row r="551" spans="1:22" ht="156" x14ac:dyDescent="0.2">
      <c r="A551" s="20" t="str">
        <f>Source!E487</f>
        <v>47</v>
      </c>
      <c r="B551" s="21" t="s">
        <v>695</v>
      </c>
      <c r="C551" s="21" t="s">
        <v>696</v>
      </c>
      <c r="D551" s="22" t="str">
        <f>Source!DW487</f>
        <v>т</v>
      </c>
      <c r="E551" s="9">
        <f>Source!I487</f>
        <v>5.43</v>
      </c>
      <c r="F551" s="24"/>
      <c r="G551" s="23"/>
      <c r="H551" s="9"/>
      <c r="I551" s="9"/>
      <c r="J551" s="25"/>
      <c r="K551" s="25"/>
      <c r="Q551">
        <f>ROUND((Source!BZ487/100)*ROUND((Source!AF487*Source!AV487)*Source!I487, 2), 2)</f>
        <v>17097.39</v>
      </c>
      <c r="R551">
        <f>Source!X487</f>
        <v>17097.39</v>
      </c>
      <c r="S551">
        <f>ROUND((Source!CA487/100)*ROUND((Source!AF487*Source!AV487)*Source!I487, 2), 2)</f>
        <v>2442.48</v>
      </c>
      <c r="T551">
        <f>Source!Y487</f>
        <v>2442.48</v>
      </c>
      <c r="U551">
        <f>ROUND((175/100)*ROUND((Source!AE487*Source!AV487)*Source!I487, 2), 2)</f>
        <v>48.76</v>
      </c>
      <c r="V551">
        <f>ROUND((108/100)*ROUND(Source!CS487*Source!I487, 2), 2)</f>
        <v>30.09</v>
      </c>
    </row>
    <row r="552" spans="1:22" ht="14.25" x14ac:dyDescent="0.2">
      <c r="A552" s="20"/>
      <c r="B552" s="21"/>
      <c r="C552" s="21" t="s">
        <v>685</v>
      </c>
      <c r="D552" s="22"/>
      <c r="E552" s="9"/>
      <c r="F552" s="24">
        <f>Source!AO487</f>
        <v>22490.639999999999</v>
      </c>
      <c r="G552" s="23" t="str">
        <f>Source!DG487</f>
        <v>)*0,2</v>
      </c>
      <c r="H552" s="9">
        <f>Source!AV487</f>
        <v>1</v>
      </c>
      <c r="I552" s="9">
        <f>IF(Source!BA487&lt;&gt; 0, Source!BA487, 1)</f>
        <v>1</v>
      </c>
      <c r="J552" s="25">
        <f>Source!S487</f>
        <v>24424.84</v>
      </c>
      <c r="K552" s="25"/>
    </row>
    <row r="553" spans="1:22" ht="14.25" x14ac:dyDescent="0.2">
      <c r="A553" s="20"/>
      <c r="B553" s="21"/>
      <c r="C553" s="21" t="s">
        <v>686</v>
      </c>
      <c r="D553" s="22"/>
      <c r="E553" s="9"/>
      <c r="F553" s="24">
        <f>Source!AM487</f>
        <v>589</v>
      </c>
      <c r="G553" s="23" t="str">
        <f>Source!DE487</f>
        <v>)*0,2</v>
      </c>
      <c r="H553" s="9">
        <f>Source!AV487</f>
        <v>1</v>
      </c>
      <c r="I553" s="9">
        <f>IF(Source!BB487&lt;&gt; 0, Source!BB487, 1)</f>
        <v>1</v>
      </c>
      <c r="J553" s="25">
        <f>Source!Q487</f>
        <v>639.65</v>
      </c>
      <c r="K553" s="25"/>
    </row>
    <row r="554" spans="1:22" ht="14.25" x14ac:dyDescent="0.2">
      <c r="A554" s="20"/>
      <c r="B554" s="21"/>
      <c r="C554" s="21" t="s">
        <v>687</v>
      </c>
      <c r="D554" s="22"/>
      <c r="E554" s="9"/>
      <c r="F554" s="24">
        <f>Source!AN487</f>
        <v>25.65</v>
      </c>
      <c r="G554" s="23" t="str">
        <f>Source!DF487</f>
        <v>)*0,2</v>
      </c>
      <c r="H554" s="9">
        <f>Source!AV487</f>
        <v>1</v>
      </c>
      <c r="I554" s="9">
        <f>IF(Source!BS487&lt;&gt; 0, Source!BS487, 1)</f>
        <v>1</v>
      </c>
      <c r="J554" s="27">
        <f>Source!R487</f>
        <v>27.86</v>
      </c>
      <c r="K554" s="25"/>
    </row>
    <row r="555" spans="1:22" ht="14.25" x14ac:dyDescent="0.2">
      <c r="A555" s="20"/>
      <c r="B555" s="21"/>
      <c r="C555" s="21" t="s">
        <v>688</v>
      </c>
      <c r="D555" s="22" t="s">
        <v>689</v>
      </c>
      <c r="E555" s="9">
        <f>Source!AT487</f>
        <v>70</v>
      </c>
      <c r="F555" s="24"/>
      <c r="G555" s="23"/>
      <c r="H555" s="9"/>
      <c r="I555" s="9"/>
      <c r="J555" s="25">
        <f>SUM(R551:R554)</f>
        <v>17097.39</v>
      </c>
      <c r="K555" s="25"/>
    </row>
    <row r="556" spans="1:22" ht="14.25" x14ac:dyDescent="0.2">
      <c r="A556" s="20"/>
      <c r="B556" s="21"/>
      <c r="C556" s="21" t="s">
        <v>690</v>
      </c>
      <c r="D556" s="22" t="s">
        <v>689</v>
      </c>
      <c r="E556" s="9">
        <f>Source!AU487</f>
        <v>10</v>
      </c>
      <c r="F556" s="24"/>
      <c r="G556" s="23"/>
      <c r="H556" s="9"/>
      <c r="I556" s="9"/>
      <c r="J556" s="25">
        <f>SUM(T551:T555)</f>
        <v>2442.48</v>
      </c>
      <c r="K556" s="25"/>
    </row>
    <row r="557" spans="1:22" ht="14.25" x14ac:dyDescent="0.2">
      <c r="A557" s="20"/>
      <c r="B557" s="21"/>
      <c r="C557" s="21" t="s">
        <v>691</v>
      </c>
      <c r="D557" s="22" t="s">
        <v>689</v>
      </c>
      <c r="E557" s="9">
        <f>108</f>
        <v>108</v>
      </c>
      <c r="F557" s="24"/>
      <c r="G557" s="23"/>
      <c r="H557" s="9"/>
      <c r="I557" s="9"/>
      <c r="J557" s="25">
        <f>SUM(V551:V556)</f>
        <v>30.09</v>
      </c>
      <c r="K557" s="25"/>
    </row>
    <row r="558" spans="1:22" ht="14.25" x14ac:dyDescent="0.2">
      <c r="A558" s="20"/>
      <c r="B558" s="21"/>
      <c r="C558" s="21" t="s">
        <v>692</v>
      </c>
      <c r="D558" s="22" t="s">
        <v>693</v>
      </c>
      <c r="E558" s="9">
        <f>Source!AQ487</f>
        <v>87.4</v>
      </c>
      <c r="F558" s="24"/>
      <c r="G558" s="23" t="str">
        <f>Source!DI487</f>
        <v>)*0,2</v>
      </c>
      <c r="H558" s="9">
        <f>Source!AV487</f>
        <v>1</v>
      </c>
      <c r="I558" s="9"/>
      <c r="J558" s="25"/>
      <c r="K558" s="25">
        <f>Source!U487</f>
        <v>94.916399999999996</v>
      </c>
    </row>
    <row r="559" spans="1:22" ht="15" x14ac:dyDescent="0.25">
      <c r="A559" s="30"/>
      <c r="B559" s="30"/>
      <c r="C559" s="30"/>
      <c r="D559" s="30"/>
      <c r="E559" s="30"/>
      <c r="F559" s="30"/>
      <c r="G559" s="30"/>
      <c r="H559" s="30"/>
      <c r="I559" s="65">
        <f>J552+J553+J555+J556+J557</f>
        <v>44634.450000000004</v>
      </c>
      <c r="J559" s="65"/>
      <c r="K559" s="31">
        <f>IF(Source!I487&lt;&gt;0, ROUND(I559/Source!I487, 2), 0)</f>
        <v>8219.9699999999993</v>
      </c>
      <c r="P559" s="28">
        <f>I559</f>
        <v>44634.450000000004</v>
      </c>
    </row>
    <row r="561" spans="1:22" ht="15" x14ac:dyDescent="0.25">
      <c r="A561" s="69" t="str">
        <f>CONCATENATE("Итого по подразделу: ",IF(Source!G489&lt;&gt;"Новый подраздел", Source!G489, ""))</f>
        <v>Итого по подразделу: Демонтажные работы</v>
      </c>
      <c r="B561" s="69"/>
      <c r="C561" s="69"/>
      <c r="D561" s="69"/>
      <c r="E561" s="69"/>
      <c r="F561" s="69"/>
      <c r="G561" s="69"/>
      <c r="H561" s="69"/>
      <c r="I561" s="66">
        <f>SUM(P550:P560)</f>
        <v>44634.450000000004</v>
      </c>
      <c r="J561" s="67"/>
      <c r="K561" s="33"/>
    </row>
    <row r="564" spans="1:22" ht="16.5" x14ac:dyDescent="0.25">
      <c r="A564" s="68" t="str">
        <f>CONCATENATE("Подраздел: ",IF(Source!G519&lt;&gt;"Новый подраздел", Source!G519, ""))</f>
        <v>Подраздел: Строительные работы</v>
      </c>
      <c r="B564" s="68"/>
      <c r="C564" s="68"/>
      <c r="D564" s="68"/>
      <c r="E564" s="68"/>
      <c r="F564" s="68"/>
      <c r="G564" s="68"/>
      <c r="H564" s="68"/>
      <c r="I564" s="68"/>
      <c r="J564" s="68"/>
      <c r="K564" s="68"/>
    </row>
    <row r="565" spans="1:22" ht="57" x14ac:dyDescent="0.2">
      <c r="A565" s="20" t="str">
        <f>Source!E523</f>
        <v>48</v>
      </c>
      <c r="B565" s="21" t="str">
        <f>Source!F523</f>
        <v>5.3-3203-2-1/1</v>
      </c>
      <c r="C565" s="21" t="str">
        <f>Source!G523</f>
        <v>Изготовление и установка секций металлического ограждения, калиток, ворот из профилированной трубы, масса секции до 150 кг</v>
      </c>
      <c r="D565" s="22" t="str">
        <f>Source!DW523</f>
        <v>м2</v>
      </c>
      <c r="E565" s="9">
        <f>Source!I523</f>
        <v>452</v>
      </c>
      <c r="F565" s="24"/>
      <c r="G565" s="23"/>
      <c r="H565" s="9"/>
      <c r="I565" s="9"/>
      <c r="J565" s="25"/>
      <c r="K565" s="25"/>
      <c r="Q565">
        <f>ROUND((Source!BZ523/100)*ROUND((Source!AF523*Source!AV523)*Source!I523, 2), 2)</f>
        <v>251569.64</v>
      </c>
      <c r="R565">
        <f>Source!X523</f>
        <v>251569.64</v>
      </c>
      <c r="S565">
        <f>ROUND((Source!CA523/100)*ROUND((Source!AF523*Source!AV523)*Source!I523, 2), 2)</f>
        <v>35938.519999999997</v>
      </c>
      <c r="T565">
        <f>Source!Y523</f>
        <v>35938.519999999997</v>
      </c>
      <c r="U565">
        <f>ROUND((175/100)*ROUND((Source!AE523*Source!AV523)*Source!I523, 2), 2)</f>
        <v>234120.18</v>
      </c>
      <c r="V565">
        <f>ROUND((108/100)*ROUND(Source!CS523*Source!I523, 2), 2)</f>
        <v>144485.6</v>
      </c>
    </row>
    <row r="566" spans="1:22" ht="14.25" x14ac:dyDescent="0.2">
      <c r="A566" s="20"/>
      <c r="B566" s="21"/>
      <c r="C566" s="21" t="s">
        <v>685</v>
      </c>
      <c r="D566" s="22"/>
      <c r="E566" s="9"/>
      <c r="F566" s="24">
        <f>Source!AO523</f>
        <v>795.1</v>
      </c>
      <c r="G566" s="23" t="str">
        <f>Source!DG523</f>
        <v/>
      </c>
      <c r="H566" s="9">
        <f>Source!AV523</f>
        <v>1</v>
      </c>
      <c r="I566" s="9">
        <f>IF(Source!BA523&lt;&gt; 0, Source!BA523, 1)</f>
        <v>1</v>
      </c>
      <c r="J566" s="25">
        <f>Source!S523</f>
        <v>359385.2</v>
      </c>
      <c r="K566" s="25"/>
    </row>
    <row r="567" spans="1:22" ht="14.25" x14ac:dyDescent="0.2">
      <c r="A567" s="20"/>
      <c r="B567" s="21"/>
      <c r="C567" s="21" t="s">
        <v>686</v>
      </c>
      <c r="D567" s="22"/>
      <c r="E567" s="9"/>
      <c r="F567" s="24">
        <f>Source!AM523</f>
        <v>464.27</v>
      </c>
      <c r="G567" s="23" t="str">
        <f>Source!DE523</f>
        <v/>
      </c>
      <c r="H567" s="9">
        <f>Source!AV523</f>
        <v>1</v>
      </c>
      <c r="I567" s="9">
        <f>IF(Source!BB523&lt;&gt; 0, Source!BB523, 1)</f>
        <v>1</v>
      </c>
      <c r="J567" s="25">
        <f>Source!Q523</f>
        <v>209850.04</v>
      </c>
      <c r="K567" s="25"/>
    </row>
    <row r="568" spans="1:22" ht="14.25" x14ac:dyDescent="0.2">
      <c r="A568" s="20"/>
      <c r="B568" s="21"/>
      <c r="C568" s="21" t="s">
        <v>687</v>
      </c>
      <c r="D568" s="22"/>
      <c r="E568" s="9"/>
      <c r="F568" s="24">
        <f>Source!AN523</f>
        <v>295.98</v>
      </c>
      <c r="G568" s="23" t="str">
        <f>Source!DF523</f>
        <v/>
      </c>
      <c r="H568" s="9">
        <f>Source!AV523</f>
        <v>1</v>
      </c>
      <c r="I568" s="9">
        <f>IF(Source!BS523&lt;&gt; 0, Source!BS523, 1)</f>
        <v>1</v>
      </c>
      <c r="J568" s="27">
        <f>Source!R523</f>
        <v>133782.96</v>
      </c>
      <c r="K568" s="25"/>
    </row>
    <row r="569" spans="1:22" ht="14.25" x14ac:dyDescent="0.2">
      <c r="A569" s="20"/>
      <c r="B569" s="21"/>
      <c r="C569" s="21" t="s">
        <v>694</v>
      </c>
      <c r="D569" s="22"/>
      <c r="E569" s="9"/>
      <c r="F569" s="24">
        <f>Source!AL523</f>
        <v>5687.37</v>
      </c>
      <c r="G569" s="23" t="str">
        <f>Source!DD523</f>
        <v/>
      </c>
      <c r="H569" s="9">
        <f>Source!AW523</f>
        <v>1</v>
      </c>
      <c r="I569" s="9">
        <f>IF(Source!BC523&lt;&gt; 0, Source!BC523, 1)</f>
        <v>1</v>
      </c>
      <c r="J569" s="25">
        <f>Source!P523</f>
        <v>2570691.2400000002</v>
      </c>
      <c r="K569" s="25"/>
    </row>
    <row r="570" spans="1:22" ht="57" x14ac:dyDescent="0.2">
      <c r="A570" s="20" t="str">
        <f>Source!E524</f>
        <v>48,1</v>
      </c>
      <c r="B570" s="21" t="str">
        <f>Source!F524</f>
        <v>21.1-10-28</v>
      </c>
      <c r="C570" s="21" t="str">
        <f>Source!G524</f>
        <v>Профили стальные электросварные квадратного сечения трубчатые, размер стороны 40 мм, толщина стенки 2 мм</v>
      </c>
      <c r="D570" s="22" t="str">
        <f>Source!DW524</f>
        <v>т</v>
      </c>
      <c r="E570" s="9">
        <f>Source!I524</f>
        <v>-67.347999999999999</v>
      </c>
      <c r="F570" s="24">
        <f>Source!AK524</f>
        <v>37537.54</v>
      </c>
      <c r="G570" s="34" t="s">
        <v>3</v>
      </c>
      <c r="H570" s="9">
        <f>Source!AW524</f>
        <v>1</v>
      </c>
      <c r="I570" s="9">
        <f>IF(Source!BC524&lt;&gt; 0, Source!BC524, 1)</f>
        <v>1</v>
      </c>
      <c r="J570" s="25">
        <f>Source!O524</f>
        <v>-2528078.2400000002</v>
      </c>
      <c r="K570" s="25"/>
      <c r="Q570">
        <f>ROUND((Source!BZ524/100)*ROUND((Source!AF524*Source!AV524)*Source!I524, 2), 2)</f>
        <v>0</v>
      </c>
      <c r="R570">
        <f>Source!X524</f>
        <v>0</v>
      </c>
      <c r="S570">
        <f>ROUND((Source!CA524/100)*ROUND((Source!AF524*Source!AV524)*Source!I524, 2), 2)</f>
        <v>0</v>
      </c>
      <c r="T570">
        <f>Source!Y524</f>
        <v>0</v>
      </c>
      <c r="U570">
        <f>ROUND((175/100)*ROUND((Source!AE524*Source!AV524)*Source!I524, 2), 2)</f>
        <v>0</v>
      </c>
      <c r="V570">
        <f>ROUND((108/100)*ROUND(Source!CS524*Source!I524, 2), 2)</f>
        <v>0</v>
      </c>
    </row>
    <row r="571" spans="1:22" ht="57" x14ac:dyDescent="0.2">
      <c r="A571" s="20" t="str">
        <f>Source!E525</f>
        <v>48,2</v>
      </c>
      <c r="B571" s="21" t="str">
        <f>Source!F525</f>
        <v>21.1-10-69</v>
      </c>
      <c r="C571" s="21" t="str">
        <f>Source!G525</f>
        <v>Профили стальные электросварные прямоугольного сечения трубчатые, размер 20х50 мм, толщина стенки 2,0 мм</v>
      </c>
      <c r="D571" s="22" t="str">
        <f>Source!DW525</f>
        <v>т</v>
      </c>
      <c r="E571" s="9">
        <f>Source!I525</f>
        <v>1.8520000000000001</v>
      </c>
      <c r="F571" s="24">
        <f>Source!AK525</f>
        <v>39110.050000000003</v>
      </c>
      <c r="G571" s="34" t="s">
        <v>3</v>
      </c>
      <c r="H571" s="9">
        <f>Source!AW525</f>
        <v>1</v>
      </c>
      <c r="I571" s="9">
        <f>IF(Source!BC525&lt;&gt; 0, Source!BC525, 1)</f>
        <v>1</v>
      </c>
      <c r="J571" s="25">
        <f>Source!O525</f>
        <v>72431.81</v>
      </c>
      <c r="K571" s="25"/>
      <c r="Q571">
        <f>ROUND((Source!BZ525/100)*ROUND((Source!AF525*Source!AV525)*Source!I525, 2), 2)</f>
        <v>0</v>
      </c>
      <c r="R571">
        <f>Source!X525</f>
        <v>0</v>
      </c>
      <c r="S571">
        <f>ROUND((Source!CA525/100)*ROUND((Source!AF525*Source!AV525)*Source!I525, 2), 2)</f>
        <v>0</v>
      </c>
      <c r="T571">
        <f>Source!Y525</f>
        <v>0</v>
      </c>
      <c r="U571">
        <f>ROUND((175/100)*ROUND((Source!AE525*Source!AV525)*Source!I525, 2), 2)</f>
        <v>0</v>
      </c>
      <c r="V571">
        <f>ROUND((108/100)*ROUND(Source!CS525*Source!I525, 2), 2)</f>
        <v>0</v>
      </c>
    </row>
    <row r="572" spans="1:22" ht="57" x14ac:dyDescent="0.2">
      <c r="A572" s="20" t="str">
        <f>Source!E526</f>
        <v>48,3</v>
      </c>
      <c r="B572" s="21" t="str">
        <f>Source!F526</f>
        <v>21.1-10-34</v>
      </c>
      <c r="C572" s="21" t="str">
        <f>Source!G526</f>
        <v>Профили стальные электросварные квадратного сечения трубчатые, размер стороны 20 мм, толщина стенки 2 мм</v>
      </c>
      <c r="D572" s="22" t="str">
        <f>Source!DW526</f>
        <v>т</v>
      </c>
      <c r="E572" s="9">
        <f>Source!I526</f>
        <v>2.6909999999999998</v>
      </c>
      <c r="F572" s="24">
        <f>Source!AK526</f>
        <v>40597.550000000003</v>
      </c>
      <c r="G572" s="34" t="s">
        <v>3</v>
      </c>
      <c r="H572" s="9">
        <f>Source!AW526</f>
        <v>1</v>
      </c>
      <c r="I572" s="9">
        <f>IF(Source!BC526&lt;&gt; 0, Source!BC526, 1)</f>
        <v>1</v>
      </c>
      <c r="J572" s="25">
        <f>Source!O526</f>
        <v>109248.01</v>
      </c>
      <c r="K572" s="25"/>
      <c r="Q572">
        <f>ROUND((Source!BZ526/100)*ROUND((Source!AF526*Source!AV526)*Source!I526, 2), 2)</f>
        <v>0</v>
      </c>
      <c r="R572">
        <f>Source!X526</f>
        <v>0</v>
      </c>
      <c r="S572">
        <f>ROUND((Source!CA526/100)*ROUND((Source!AF526*Source!AV526)*Source!I526, 2), 2)</f>
        <v>0</v>
      </c>
      <c r="T572">
        <f>Source!Y526</f>
        <v>0</v>
      </c>
      <c r="U572">
        <f>ROUND((175/100)*ROUND((Source!AE526*Source!AV526)*Source!I526, 2), 2)</f>
        <v>0</v>
      </c>
      <c r="V572">
        <f>ROUND((108/100)*ROUND(Source!CS526*Source!I526, 2), 2)</f>
        <v>0</v>
      </c>
    </row>
    <row r="573" spans="1:22" ht="14.25" x14ac:dyDescent="0.2">
      <c r="A573" s="20"/>
      <c r="B573" s="21"/>
      <c r="C573" s="21" t="s">
        <v>688</v>
      </c>
      <c r="D573" s="22" t="s">
        <v>689</v>
      </c>
      <c r="E573" s="9">
        <f>Source!AT523</f>
        <v>70</v>
      </c>
      <c r="F573" s="24"/>
      <c r="G573" s="23"/>
      <c r="H573" s="9"/>
      <c r="I573" s="9"/>
      <c r="J573" s="25">
        <f>SUM(R565:R572)</f>
        <v>251569.64</v>
      </c>
      <c r="K573" s="25"/>
    </row>
    <row r="574" spans="1:22" ht="14.25" x14ac:dyDescent="0.2">
      <c r="A574" s="20"/>
      <c r="B574" s="21"/>
      <c r="C574" s="21" t="s">
        <v>690</v>
      </c>
      <c r="D574" s="22" t="s">
        <v>689</v>
      </c>
      <c r="E574" s="9">
        <f>Source!AU523</f>
        <v>10</v>
      </c>
      <c r="F574" s="24"/>
      <c r="G574" s="23"/>
      <c r="H574" s="9"/>
      <c r="I574" s="9"/>
      <c r="J574" s="25">
        <f>SUM(T565:T573)</f>
        <v>35938.519999999997</v>
      </c>
      <c r="K574" s="25"/>
    </row>
    <row r="575" spans="1:22" ht="14.25" x14ac:dyDescent="0.2">
      <c r="A575" s="20"/>
      <c r="B575" s="21"/>
      <c r="C575" s="21" t="s">
        <v>691</v>
      </c>
      <c r="D575" s="22" t="s">
        <v>689</v>
      </c>
      <c r="E575" s="9">
        <f>108</f>
        <v>108</v>
      </c>
      <c r="F575" s="24"/>
      <c r="G575" s="23"/>
      <c r="H575" s="9"/>
      <c r="I575" s="9"/>
      <c r="J575" s="25">
        <f>SUM(V565:V574)</f>
        <v>144485.6</v>
      </c>
      <c r="K575" s="25"/>
    </row>
    <row r="576" spans="1:22" ht="14.25" x14ac:dyDescent="0.2">
      <c r="A576" s="20"/>
      <c r="B576" s="21"/>
      <c r="C576" s="21" t="s">
        <v>692</v>
      </c>
      <c r="D576" s="22" t="s">
        <v>693</v>
      </c>
      <c r="E576" s="9">
        <f>Source!AQ523</f>
        <v>2.97</v>
      </c>
      <c r="F576" s="24"/>
      <c r="G576" s="23" t="str">
        <f>Source!DI523</f>
        <v/>
      </c>
      <c r="H576" s="9">
        <f>Source!AV523</f>
        <v>1</v>
      </c>
      <c r="I576" s="9"/>
      <c r="J576" s="25"/>
      <c r="K576" s="25">
        <f>Source!U523</f>
        <v>1342.44</v>
      </c>
    </row>
    <row r="577" spans="1:22" ht="15" x14ac:dyDescent="0.25">
      <c r="A577" s="30"/>
      <c r="B577" s="30"/>
      <c r="C577" s="30"/>
      <c r="D577" s="30"/>
      <c r="E577" s="30"/>
      <c r="F577" s="30"/>
      <c r="G577" s="30"/>
      <c r="H577" s="30"/>
      <c r="I577" s="65">
        <f>J566+J567+J569+J573+J574+J575+SUM(J570:J572)</f>
        <v>1225521.8200000003</v>
      </c>
      <c r="J577" s="65"/>
      <c r="K577" s="31">
        <f>IF(Source!I523&lt;&gt;0, ROUND(I577/Source!I523, 2), 0)</f>
        <v>2711.33</v>
      </c>
      <c r="P577" s="28">
        <f>I577</f>
        <v>1225521.8200000003</v>
      </c>
    </row>
    <row r="578" spans="1:22" ht="42.75" x14ac:dyDescent="0.2">
      <c r="A578" s="20" t="str">
        <f>Source!E527</f>
        <v>49</v>
      </c>
      <c r="B578" s="21" t="str">
        <f>Source!F527</f>
        <v>5.3-3203-3-1/1</v>
      </c>
      <c r="C578" s="21" t="str">
        <f>Source!G527</f>
        <v>Изготовление и установка металлических стоек ограждения, масса стойки до 50 кг</v>
      </c>
      <c r="D578" s="22" t="str">
        <f>Source!DW527</f>
        <v>шт.</v>
      </c>
      <c r="E578" s="9">
        <f>Source!I527</f>
        <v>61</v>
      </c>
      <c r="F578" s="24"/>
      <c r="G578" s="23"/>
      <c r="H578" s="9"/>
      <c r="I578" s="9"/>
      <c r="J578" s="25"/>
      <c r="K578" s="25"/>
      <c r="Q578">
        <f>ROUND((Source!BZ527/100)*ROUND((Source!AF527*Source!AV527)*Source!I527, 2), 2)</f>
        <v>22091.27</v>
      </c>
      <c r="R578">
        <f>Source!X527</f>
        <v>22091.27</v>
      </c>
      <c r="S578">
        <f>ROUND((Source!CA527/100)*ROUND((Source!AF527*Source!AV527)*Source!I527, 2), 2)</f>
        <v>3155.9</v>
      </c>
      <c r="T578">
        <f>Source!Y527</f>
        <v>3155.9</v>
      </c>
      <c r="U578">
        <f>ROUND((175/100)*ROUND((Source!AE527*Source!AV527)*Source!I527, 2), 2)</f>
        <v>15652.75</v>
      </c>
      <c r="V578">
        <f>ROUND((108/100)*ROUND(Source!CS527*Source!I527, 2), 2)</f>
        <v>9659.98</v>
      </c>
    </row>
    <row r="579" spans="1:22" ht="14.25" x14ac:dyDescent="0.2">
      <c r="A579" s="20"/>
      <c r="B579" s="21"/>
      <c r="C579" s="21" t="s">
        <v>685</v>
      </c>
      <c r="D579" s="22"/>
      <c r="E579" s="9"/>
      <c r="F579" s="24">
        <f>Source!AO527</f>
        <v>517.36</v>
      </c>
      <c r="G579" s="23" t="str">
        <f>Source!DG527</f>
        <v/>
      </c>
      <c r="H579" s="9">
        <f>Source!AV527</f>
        <v>1</v>
      </c>
      <c r="I579" s="9">
        <f>IF(Source!BA527&lt;&gt; 0, Source!BA527, 1)</f>
        <v>1</v>
      </c>
      <c r="J579" s="25">
        <f>Source!S527</f>
        <v>31558.959999999999</v>
      </c>
      <c r="K579" s="25"/>
    </row>
    <row r="580" spans="1:22" ht="14.25" x14ac:dyDescent="0.2">
      <c r="A580" s="20"/>
      <c r="B580" s="21"/>
      <c r="C580" s="21" t="s">
        <v>686</v>
      </c>
      <c r="D580" s="22"/>
      <c r="E580" s="9"/>
      <c r="F580" s="24">
        <f>Source!AM527</f>
        <v>262.64</v>
      </c>
      <c r="G580" s="23" t="str">
        <f>Source!DE527</f>
        <v/>
      </c>
      <c r="H580" s="9">
        <f>Source!AV527</f>
        <v>1</v>
      </c>
      <c r="I580" s="9">
        <f>IF(Source!BB527&lt;&gt; 0, Source!BB527, 1)</f>
        <v>1</v>
      </c>
      <c r="J580" s="25">
        <f>Source!Q527</f>
        <v>16021.04</v>
      </c>
      <c r="K580" s="25"/>
    </row>
    <row r="581" spans="1:22" ht="14.25" x14ac:dyDescent="0.2">
      <c r="A581" s="20"/>
      <c r="B581" s="21"/>
      <c r="C581" s="21" t="s">
        <v>687</v>
      </c>
      <c r="D581" s="22"/>
      <c r="E581" s="9"/>
      <c r="F581" s="24">
        <f>Source!AN527</f>
        <v>146.63</v>
      </c>
      <c r="G581" s="23" t="str">
        <f>Source!DF527</f>
        <v/>
      </c>
      <c r="H581" s="9">
        <f>Source!AV527</f>
        <v>1</v>
      </c>
      <c r="I581" s="9">
        <f>IF(Source!BS527&lt;&gt; 0, Source!BS527, 1)</f>
        <v>1</v>
      </c>
      <c r="J581" s="27">
        <f>Source!R527</f>
        <v>8944.43</v>
      </c>
      <c r="K581" s="25"/>
    </row>
    <row r="582" spans="1:22" ht="14.25" x14ac:dyDescent="0.2">
      <c r="A582" s="20"/>
      <c r="B582" s="21"/>
      <c r="C582" s="21" t="s">
        <v>694</v>
      </c>
      <c r="D582" s="22"/>
      <c r="E582" s="9"/>
      <c r="F582" s="24">
        <f>Source!AL527</f>
        <v>3717.69</v>
      </c>
      <c r="G582" s="23" t="str">
        <f>Source!DD527</f>
        <v/>
      </c>
      <c r="H582" s="9">
        <f>Source!AW527</f>
        <v>1</v>
      </c>
      <c r="I582" s="9">
        <f>IF(Source!BC527&lt;&gt; 0, Source!BC527, 1)</f>
        <v>1</v>
      </c>
      <c r="J582" s="25">
        <f>Source!P527</f>
        <v>226779.09</v>
      </c>
      <c r="K582" s="25"/>
    </row>
    <row r="583" spans="1:22" ht="71.25" x14ac:dyDescent="0.2">
      <c r="A583" s="20" t="str">
        <f>Source!E528</f>
        <v>49,1</v>
      </c>
      <c r="B583" s="21" t="str">
        <f>Source!F528</f>
        <v>21.12-6-5</v>
      </c>
      <c r="C583" s="21" t="str">
        <f>Source!G528</f>
        <v>Трубы стальные бесшовные холоднодеформированные из стали марок 10, 20, 30, 45, ГОСТ 8734-75, 8733-74, наружный диаметр 150 мм, толщина стенки 4мм</v>
      </c>
      <c r="D583" s="22" t="str">
        <f>Source!DW528</f>
        <v>м</v>
      </c>
      <c r="E583" s="9">
        <f>Source!I528</f>
        <v>-152.5</v>
      </c>
      <c r="F583" s="24">
        <f>Source!AK528</f>
        <v>1312.08</v>
      </c>
      <c r="G583" s="34" t="s">
        <v>3</v>
      </c>
      <c r="H583" s="9">
        <f>Source!AW528</f>
        <v>1</v>
      </c>
      <c r="I583" s="9">
        <f>IF(Source!BC528&lt;&gt; 0, Source!BC528, 1)</f>
        <v>1</v>
      </c>
      <c r="J583" s="25">
        <f>Source!O528</f>
        <v>-200092.2</v>
      </c>
      <c r="K583" s="25"/>
      <c r="Q583">
        <f>ROUND((Source!BZ528/100)*ROUND((Source!AF528*Source!AV528)*Source!I528, 2), 2)</f>
        <v>0</v>
      </c>
      <c r="R583">
        <f>Source!X528</f>
        <v>0</v>
      </c>
      <c r="S583">
        <f>ROUND((Source!CA528/100)*ROUND((Source!AF528*Source!AV528)*Source!I528, 2), 2)</f>
        <v>0</v>
      </c>
      <c r="T583">
        <f>Source!Y528</f>
        <v>0</v>
      </c>
      <c r="U583">
        <f>ROUND((175/100)*ROUND((Source!AE528*Source!AV528)*Source!I528, 2), 2)</f>
        <v>0</v>
      </c>
      <c r="V583">
        <f>ROUND((108/100)*ROUND(Source!CS528*Source!I528, 2), 2)</f>
        <v>0</v>
      </c>
    </row>
    <row r="584" spans="1:22" ht="57" x14ac:dyDescent="0.2">
      <c r="A584" s="20" t="str">
        <f>Source!E529</f>
        <v>49,2</v>
      </c>
      <c r="B584" s="21" t="str">
        <f>Source!F529</f>
        <v>21.1-10-47</v>
      </c>
      <c r="C584" s="21" t="str">
        <f>Source!G529</f>
        <v>Профили стальные электросварные квадратного сечения трубчатые, размер стороны 80 мм, толщина стенки 3-6 мм</v>
      </c>
      <c r="D584" s="22" t="str">
        <f>Source!DW529</f>
        <v>т</v>
      </c>
      <c r="E584" s="9">
        <f>Source!I529</f>
        <v>1.71</v>
      </c>
      <c r="F584" s="24">
        <f>Source!AK529</f>
        <v>37329.29</v>
      </c>
      <c r="G584" s="34" t="s">
        <v>3</v>
      </c>
      <c r="H584" s="9">
        <f>Source!AW529</f>
        <v>1</v>
      </c>
      <c r="I584" s="9">
        <f>IF(Source!BC529&lt;&gt; 0, Source!BC529, 1)</f>
        <v>1</v>
      </c>
      <c r="J584" s="25">
        <f>Source!O529</f>
        <v>63833.09</v>
      </c>
      <c r="K584" s="25"/>
      <c r="Q584">
        <f>ROUND((Source!BZ529/100)*ROUND((Source!AF529*Source!AV529)*Source!I529, 2), 2)</f>
        <v>0</v>
      </c>
      <c r="R584">
        <f>Source!X529</f>
        <v>0</v>
      </c>
      <c r="S584">
        <f>ROUND((Source!CA529/100)*ROUND((Source!AF529*Source!AV529)*Source!I529, 2), 2)</f>
        <v>0</v>
      </c>
      <c r="T584">
        <f>Source!Y529</f>
        <v>0</v>
      </c>
      <c r="U584">
        <f>ROUND((175/100)*ROUND((Source!AE529*Source!AV529)*Source!I529, 2), 2)</f>
        <v>0</v>
      </c>
      <c r="V584">
        <f>ROUND((108/100)*ROUND(Source!CS529*Source!I529, 2), 2)</f>
        <v>0</v>
      </c>
    </row>
    <row r="585" spans="1:22" ht="14.25" x14ac:dyDescent="0.2">
      <c r="A585" s="20"/>
      <c r="B585" s="21"/>
      <c r="C585" s="21" t="s">
        <v>688</v>
      </c>
      <c r="D585" s="22" t="s">
        <v>689</v>
      </c>
      <c r="E585" s="9">
        <f>Source!AT527</f>
        <v>70</v>
      </c>
      <c r="F585" s="24"/>
      <c r="G585" s="23"/>
      <c r="H585" s="9"/>
      <c r="I585" s="9"/>
      <c r="J585" s="25">
        <f>SUM(R578:R584)</f>
        <v>22091.27</v>
      </c>
      <c r="K585" s="25"/>
    </row>
    <row r="586" spans="1:22" ht="14.25" x14ac:dyDescent="0.2">
      <c r="A586" s="20"/>
      <c r="B586" s="21"/>
      <c r="C586" s="21" t="s">
        <v>690</v>
      </c>
      <c r="D586" s="22" t="s">
        <v>689</v>
      </c>
      <c r="E586" s="9">
        <f>Source!AU527</f>
        <v>10</v>
      </c>
      <c r="F586" s="24"/>
      <c r="G586" s="23"/>
      <c r="H586" s="9"/>
      <c r="I586" s="9"/>
      <c r="J586" s="25">
        <f>SUM(T578:T585)</f>
        <v>3155.9</v>
      </c>
      <c r="K586" s="25"/>
    </row>
    <row r="587" spans="1:22" ht="14.25" x14ac:dyDescent="0.2">
      <c r="A587" s="20"/>
      <c r="B587" s="21"/>
      <c r="C587" s="21" t="s">
        <v>691</v>
      </c>
      <c r="D587" s="22" t="s">
        <v>689</v>
      </c>
      <c r="E587" s="9">
        <f>108</f>
        <v>108</v>
      </c>
      <c r="F587" s="24"/>
      <c r="G587" s="23"/>
      <c r="H587" s="9"/>
      <c r="I587" s="9"/>
      <c r="J587" s="25">
        <f>SUM(V578:V586)</f>
        <v>9659.98</v>
      </c>
      <c r="K587" s="25"/>
    </row>
    <row r="588" spans="1:22" ht="14.25" x14ac:dyDescent="0.2">
      <c r="A588" s="20"/>
      <c r="B588" s="21"/>
      <c r="C588" s="21" t="s">
        <v>692</v>
      </c>
      <c r="D588" s="22" t="s">
        <v>693</v>
      </c>
      <c r="E588" s="9">
        <f>Source!AQ527</f>
        <v>2.38</v>
      </c>
      <c r="F588" s="24"/>
      <c r="G588" s="23" t="str">
        <f>Source!DI527</f>
        <v/>
      </c>
      <c r="H588" s="9">
        <f>Source!AV527</f>
        <v>1</v>
      </c>
      <c r="I588" s="9"/>
      <c r="J588" s="25"/>
      <c r="K588" s="25">
        <f>Source!U527</f>
        <v>145.18</v>
      </c>
    </row>
    <row r="589" spans="1:22" ht="15" x14ac:dyDescent="0.25">
      <c r="A589" s="30"/>
      <c r="B589" s="30"/>
      <c r="C589" s="30"/>
      <c r="D589" s="30"/>
      <c r="E589" s="30"/>
      <c r="F589" s="30"/>
      <c r="G589" s="30"/>
      <c r="H589" s="30"/>
      <c r="I589" s="65">
        <f>J579+J580+J582+J585+J586+J587+SUM(J583:J584)</f>
        <v>173007.12999999998</v>
      </c>
      <c r="J589" s="65"/>
      <c r="K589" s="31">
        <f>IF(Source!I527&lt;&gt;0, ROUND(I589/Source!I527, 2), 0)</f>
        <v>2836.18</v>
      </c>
      <c r="P589" s="28">
        <f>I589</f>
        <v>173007.12999999998</v>
      </c>
    </row>
    <row r="590" spans="1:22" ht="57" x14ac:dyDescent="0.2">
      <c r="A590" s="20" t="str">
        <f>Source!E530</f>
        <v>50</v>
      </c>
      <c r="B590" s="21" t="str">
        <f>Source!F530</f>
        <v>5.3-3203-2-1/1</v>
      </c>
      <c r="C590" s="21" t="str">
        <f>Source!G530</f>
        <v>Изготовление и установка секций металлического ограждения, калиток, ворот из профилированной трубы, масса секции до 150 кг</v>
      </c>
      <c r="D590" s="22" t="str">
        <f>Source!DW530</f>
        <v>м2</v>
      </c>
      <c r="E590" s="9">
        <f>Source!I530</f>
        <v>10</v>
      </c>
      <c r="F590" s="24"/>
      <c r="G590" s="23"/>
      <c r="H590" s="9"/>
      <c r="I590" s="9"/>
      <c r="J590" s="25"/>
      <c r="K590" s="25"/>
      <c r="Q590">
        <f>ROUND((Source!BZ530/100)*ROUND((Source!AF530*Source!AV530)*Source!I530, 2), 2)</f>
        <v>5565.7</v>
      </c>
      <c r="R590">
        <f>Source!X530</f>
        <v>5565.7</v>
      </c>
      <c r="S590">
        <f>ROUND((Source!CA530/100)*ROUND((Source!AF530*Source!AV530)*Source!I530, 2), 2)</f>
        <v>795.1</v>
      </c>
      <c r="T590">
        <f>Source!Y530</f>
        <v>795.1</v>
      </c>
      <c r="U590">
        <f>ROUND((175/100)*ROUND((Source!AE530*Source!AV530)*Source!I530, 2), 2)</f>
        <v>5179.6499999999996</v>
      </c>
      <c r="V590">
        <f>ROUND((108/100)*ROUND(Source!CS530*Source!I530, 2), 2)</f>
        <v>3196.58</v>
      </c>
    </row>
    <row r="591" spans="1:22" ht="14.25" x14ac:dyDescent="0.2">
      <c r="A591" s="20"/>
      <c r="B591" s="21"/>
      <c r="C591" s="21" t="s">
        <v>685</v>
      </c>
      <c r="D591" s="22"/>
      <c r="E591" s="9"/>
      <c r="F591" s="24">
        <f>Source!AO530</f>
        <v>795.1</v>
      </c>
      <c r="G591" s="23" t="str">
        <f>Source!DG530</f>
        <v/>
      </c>
      <c r="H591" s="9">
        <f>Source!AV530</f>
        <v>1</v>
      </c>
      <c r="I591" s="9">
        <f>IF(Source!BA530&lt;&gt; 0, Source!BA530, 1)</f>
        <v>1</v>
      </c>
      <c r="J591" s="25">
        <f>Source!S530</f>
        <v>7951</v>
      </c>
      <c r="K591" s="25"/>
    </row>
    <row r="592" spans="1:22" ht="14.25" x14ac:dyDescent="0.2">
      <c r="A592" s="20"/>
      <c r="B592" s="21"/>
      <c r="C592" s="21" t="s">
        <v>686</v>
      </c>
      <c r="D592" s="22"/>
      <c r="E592" s="9"/>
      <c r="F592" s="24">
        <f>Source!AM530</f>
        <v>464.27</v>
      </c>
      <c r="G592" s="23" t="str">
        <f>Source!DE530</f>
        <v/>
      </c>
      <c r="H592" s="9">
        <f>Source!AV530</f>
        <v>1</v>
      </c>
      <c r="I592" s="9">
        <f>IF(Source!BB530&lt;&gt; 0, Source!BB530, 1)</f>
        <v>1</v>
      </c>
      <c r="J592" s="25">
        <f>Source!Q530</f>
        <v>4642.7</v>
      </c>
      <c r="K592" s="25"/>
    </row>
    <row r="593" spans="1:22" ht="14.25" x14ac:dyDescent="0.2">
      <c r="A593" s="20"/>
      <c r="B593" s="21"/>
      <c r="C593" s="21" t="s">
        <v>687</v>
      </c>
      <c r="D593" s="22"/>
      <c r="E593" s="9"/>
      <c r="F593" s="24">
        <f>Source!AN530</f>
        <v>295.98</v>
      </c>
      <c r="G593" s="23" t="str">
        <f>Source!DF530</f>
        <v/>
      </c>
      <c r="H593" s="9">
        <f>Source!AV530</f>
        <v>1</v>
      </c>
      <c r="I593" s="9">
        <f>IF(Source!BS530&lt;&gt; 0, Source!BS530, 1)</f>
        <v>1</v>
      </c>
      <c r="J593" s="27">
        <f>Source!R530</f>
        <v>2959.8</v>
      </c>
      <c r="K593" s="25"/>
    </row>
    <row r="594" spans="1:22" ht="14.25" x14ac:dyDescent="0.2">
      <c r="A594" s="20"/>
      <c r="B594" s="21"/>
      <c r="C594" s="21" t="s">
        <v>694</v>
      </c>
      <c r="D594" s="22"/>
      <c r="E594" s="9"/>
      <c r="F594" s="24">
        <f>Source!AL530</f>
        <v>5687.37</v>
      </c>
      <c r="G594" s="23" t="str">
        <f>Source!DD530</f>
        <v/>
      </c>
      <c r="H594" s="9">
        <f>Source!AW530</f>
        <v>1</v>
      </c>
      <c r="I594" s="9">
        <f>IF(Source!BC530&lt;&gt; 0, Source!BC530, 1)</f>
        <v>1</v>
      </c>
      <c r="J594" s="25">
        <f>Source!P530</f>
        <v>56873.7</v>
      </c>
      <c r="K594" s="25"/>
    </row>
    <row r="595" spans="1:22" ht="14.25" x14ac:dyDescent="0.2">
      <c r="A595" s="20"/>
      <c r="B595" s="21"/>
      <c r="C595" s="21" t="s">
        <v>688</v>
      </c>
      <c r="D595" s="22" t="s">
        <v>689</v>
      </c>
      <c r="E595" s="9">
        <f>Source!AT530</f>
        <v>70</v>
      </c>
      <c r="F595" s="24"/>
      <c r="G595" s="23"/>
      <c r="H595" s="9"/>
      <c r="I595" s="9"/>
      <c r="J595" s="25">
        <f>SUM(R590:R594)</f>
        <v>5565.7</v>
      </c>
      <c r="K595" s="25"/>
    </row>
    <row r="596" spans="1:22" ht="14.25" x14ac:dyDescent="0.2">
      <c r="A596" s="20"/>
      <c r="B596" s="21"/>
      <c r="C596" s="21" t="s">
        <v>690</v>
      </c>
      <c r="D596" s="22" t="s">
        <v>689</v>
      </c>
      <c r="E596" s="9">
        <f>Source!AU530</f>
        <v>10</v>
      </c>
      <c r="F596" s="24"/>
      <c r="G596" s="23"/>
      <c r="H596" s="9"/>
      <c r="I596" s="9"/>
      <c r="J596" s="25">
        <f>SUM(T590:T595)</f>
        <v>795.1</v>
      </c>
      <c r="K596" s="25"/>
    </row>
    <row r="597" spans="1:22" ht="14.25" x14ac:dyDescent="0.2">
      <c r="A597" s="20"/>
      <c r="B597" s="21"/>
      <c r="C597" s="21" t="s">
        <v>691</v>
      </c>
      <c r="D597" s="22" t="s">
        <v>689</v>
      </c>
      <c r="E597" s="9">
        <f>108</f>
        <v>108</v>
      </c>
      <c r="F597" s="24"/>
      <c r="G597" s="23"/>
      <c r="H597" s="9"/>
      <c r="I597" s="9"/>
      <c r="J597" s="25">
        <f>SUM(V590:V596)</f>
        <v>3196.58</v>
      </c>
      <c r="K597" s="25"/>
    </row>
    <row r="598" spans="1:22" ht="14.25" x14ac:dyDescent="0.2">
      <c r="A598" s="20"/>
      <c r="B598" s="21"/>
      <c r="C598" s="21" t="s">
        <v>692</v>
      </c>
      <c r="D598" s="22" t="s">
        <v>693</v>
      </c>
      <c r="E598" s="9">
        <f>Source!AQ530</f>
        <v>2.97</v>
      </c>
      <c r="F598" s="24"/>
      <c r="G598" s="23" t="str">
        <f>Source!DI530</f>
        <v/>
      </c>
      <c r="H598" s="9">
        <f>Source!AV530</f>
        <v>1</v>
      </c>
      <c r="I598" s="9"/>
      <c r="J598" s="25"/>
      <c r="K598" s="25">
        <f>Source!U530</f>
        <v>29.700000000000003</v>
      </c>
    </row>
    <row r="599" spans="1:22" ht="15" x14ac:dyDescent="0.25">
      <c r="A599" s="30"/>
      <c r="B599" s="30"/>
      <c r="C599" s="30"/>
      <c r="D599" s="30"/>
      <c r="E599" s="30"/>
      <c r="F599" s="30"/>
      <c r="G599" s="30"/>
      <c r="H599" s="30"/>
      <c r="I599" s="65">
        <f>J591+J592+J594+J595+J596+J597</f>
        <v>79024.78</v>
      </c>
      <c r="J599" s="65"/>
      <c r="K599" s="31">
        <f>IF(Source!I530&lt;&gt;0, ROUND(I599/Source!I530, 2), 0)</f>
        <v>7902.48</v>
      </c>
      <c r="P599" s="28">
        <f>I599</f>
        <v>79024.78</v>
      </c>
    </row>
    <row r="600" spans="1:22" ht="42.75" x14ac:dyDescent="0.2">
      <c r="A600" s="20" t="str">
        <f>Source!E531</f>
        <v>51</v>
      </c>
      <c r="B600" s="21" t="str">
        <f>Source!F531</f>
        <v>1.14-3203-14-7/1</v>
      </c>
      <c r="C600" s="21" t="str">
        <f>Source!G531</f>
        <v>Окраска масляными составами за два раза металлических поверхностей решеток и оград</v>
      </c>
      <c r="D600" s="22" t="str">
        <f>Source!DW531</f>
        <v>100 м2</v>
      </c>
      <c r="E600" s="9">
        <f>Source!I531</f>
        <v>4.5199999999999996</v>
      </c>
      <c r="F600" s="24"/>
      <c r="G600" s="23"/>
      <c r="H600" s="9"/>
      <c r="I600" s="9"/>
      <c r="J600" s="25"/>
      <c r="K600" s="25"/>
      <c r="Q600">
        <f>ROUND((Source!BZ531/100)*ROUND((Source!AF531*Source!AV531)*Source!I531, 2), 2)</f>
        <v>49266.83</v>
      </c>
      <c r="R600">
        <f>Source!X531</f>
        <v>49266.83</v>
      </c>
      <c r="S600">
        <f>ROUND((Source!CA531/100)*ROUND((Source!AF531*Source!AV531)*Source!I531, 2), 2)</f>
        <v>7038.12</v>
      </c>
      <c r="T600">
        <f>Source!Y531</f>
        <v>7038.12</v>
      </c>
      <c r="U600">
        <f>ROUND((175/100)*ROUND((Source!AE531*Source!AV531)*Source!I531, 2), 2)</f>
        <v>0</v>
      </c>
      <c r="V600">
        <f>ROUND((108/100)*ROUND(Source!CS531*Source!I531, 2), 2)</f>
        <v>0</v>
      </c>
    </row>
    <row r="601" spans="1:22" x14ac:dyDescent="0.2">
      <c r="C601" s="26" t="str">
        <f>"Объем: "&amp;Source!I531&amp;"=452/"&amp;"100"</f>
        <v>Объем: 4,52=452/100</v>
      </c>
    </row>
    <row r="602" spans="1:22" ht="14.25" x14ac:dyDescent="0.2">
      <c r="A602" s="20"/>
      <c r="B602" s="21"/>
      <c r="C602" s="21" t="s">
        <v>685</v>
      </c>
      <c r="D602" s="22"/>
      <c r="E602" s="9"/>
      <c r="F602" s="24">
        <f>Source!AO531</f>
        <v>15571.06</v>
      </c>
      <c r="G602" s="23" t="str">
        <f>Source!DG531</f>
        <v/>
      </c>
      <c r="H602" s="9">
        <f>Source!AV531</f>
        <v>1</v>
      </c>
      <c r="I602" s="9">
        <f>IF(Source!BA531&lt;&gt; 0, Source!BA531, 1)</f>
        <v>1</v>
      </c>
      <c r="J602" s="25">
        <f>Source!S531</f>
        <v>70381.19</v>
      </c>
      <c r="K602" s="25"/>
    </row>
    <row r="603" spans="1:22" ht="14.25" x14ac:dyDescent="0.2">
      <c r="A603" s="20"/>
      <c r="B603" s="21"/>
      <c r="C603" s="21" t="s">
        <v>694</v>
      </c>
      <c r="D603" s="22"/>
      <c r="E603" s="9"/>
      <c r="F603" s="24">
        <f>Source!AL531</f>
        <v>1307.1199999999999</v>
      </c>
      <c r="G603" s="23" t="str">
        <f>Source!DD531</f>
        <v/>
      </c>
      <c r="H603" s="9">
        <f>Source!AW531</f>
        <v>1</v>
      </c>
      <c r="I603" s="9">
        <f>IF(Source!BC531&lt;&gt; 0, Source!BC531, 1)</f>
        <v>1</v>
      </c>
      <c r="J603" s="25">
        <f>Source!P531</f>
        <v>5908.18</v>
      </c>
      <c r="K603" s="25"/>
    </row>
    <row r="604" spans="1:22" ht="14.25" x14ac:dyDescent="0.2">
      <c r="A604" s="20"/>
      <c r="B604" s="21"/>
      <c r="C604" s="21" t="s">
        <v>688</v>
      </c>
      <c r="D604" s="22" t="s">
        <v>689</v>
      </c>
      <c r="E604" s="9">
        <f>Source!AT531</f>
        <v>70</v>
      </c>
      <c r="F604" s="24"/>
      <c r="G604" s="23"/>
      <c r="H604" s="9"/>
      <c r="I604" s="9"/>
      <c r="J604" s="25">
        <f>SUM(R600:R603)</f>
        <v>49266.83</v>
      </c>
      <c r="K604" s="25"/>
    </row>
    <row r="605" spans="1:22" ht="14.25" x14ac:dyDescent="0.2">
      <c r="A605" s="20"/>
      <c r="B605" s="21"/>
      <c r="C605" s="21" t="s">
        <v>690</v>
      </c>
      <c r="D605" s="22" t="s">
        <v>689</v>
      </c>
      <c r="E605" s="9">
        <f>Source!AU531</f>
        <v>10</v>
      </c>
      <c r="F605" s="24"/>
      <c r="G605" s="23"/>
      <c r="H605" s="9"/>
      <c r="I605" s="9"/>
      <c r="J605" s="25">
        <f>SUM(T600:T604)</f>
        <v>7038.12</v>
      </c>
      <c r="K605" s="25"/>
    </row>
    <row r="606" spans="1:22" ht="14.25" x14ac:dyDescent="0.2">
      <c r="A606" s="20"/>
      <c r="B606" s="21"/>
      <c r="C606" s="21" t="s">
        <v>692</v>
      </c>
      <c r="D606" s="22" t="s">
        <v>693</v>
      </c>
      <c r="E606" s="9">
        <f>Source!AQ531</f>
        <v>73.8</v>
      </c>
      <c r="F606" s="24"/>
      <c r="G606" s="23" t="str">
        <f>Source!DI531</f>
        <v/>
      </c>
      <c r="H606" s="9">
        <f>Source!AV531</f>
        <v>1</v>
      </c>
      <c r="I606" s="9"/>
      <c r="J606" s="25"/>
      <c r="K606" s="25">
        <f>Source!U531</f>
        <v>333.57599999999996</v>
      </c>
    </row>
    <row r="607" spans="1:22" ht="15" x14ac:dyDescent="0.25">
      <c r="A607" s="30"/>
      <c r="B607" s="30"/>
      <c r="C607" s="30"/>
      <c r="D607" s="30"/>
      <c r="E607" s="30"/>
      <c r="F607" s="30"/>
      <c r="G607" s="30"/>
      <c r="H607" s="30"/>
      <c r="I607" s="65">
        <f>J602+J603+J604+J605</f>
        <v>132594.32</v>
      </c>
      <c r="J607" s="65"/>
      <c r="K607" s="31">
        <f>IF(Source!I531&lt;&gt;0, ROUND(I607/Source!I531, 2), 0)</f>
        <v>29335.03</v>
      </c>
      <c r="P607" s="28">
        <f>I607</f>
        <v>132594.32</v>
      </c>
    </row>
    <row r="608" spans="1:22" ht="71.25" x14ac:dyDescent="0.2">
      <c r="A608" s="20" t="str">
        <f>Source!E532</f>
        <v>52</v>
      </c>
      <c r="B608" s="21" t="str">
        <f>Source!F532</f>
        <v>1.14-3505-2-1/3</v>
      </c>
      <c r="C608" s="21" t="str">
        <f>Source!G532</f>
        <v>Облицовка поликарбонатом ячеистым толщиной 16 мм металлических конструкций с креплением через соединительные профили, поверхность вертикальная</v>
      </c>
      <c r="D608" s="22" t="str">
        <f>Source!DW532</f>
        <v>100 м2</v>
      </c>
      <c r="E608" s="9">
        <f>Source!I532</f>
        <v>4.5199999999999996</v>
      </c>
      <c r="F608" s="24"/>
      <c r="G608" s="23"/>
      <c r="H608" s="9"/>
      <c r="I608" s="9"/>
      <c r="J608" s="25"/>
      <c r="K608" s="25"/>
      <c r="Q608">
        <f>ROUND((Source!BZ532/100)*ROUND((Source!AF532*Source!AV532)*Source!I532, 2), 2)</f>
        <v>64880.19</v>
      </c>
      <c r="R608">
        <f>Source!X532</f>
        <v>64880.19</v>
      </c>
      <c r="S608">
        <f>ROUND((Source!CA532/100)*ROUND((Source!AF532*Source!AV532)*Source!I532, 2), 2)</f>
        <v>9268.6</v>
      </c>
      <c r="T608">
        <f>Source!Y532</f>
        <v>9268.6</v>
      </c>
      <c r="U608">
        <f>ROUND((175/100)*ROUND((Source!AE532*Source!AV532)*Source!I532, 2), 2)</f>
        <v>93.1</v>
      </c>
      <c r="V608">
        <f>ROUND((108/100)*ROUND(Source!CS532*Source!I532, 2), 2)</f>
        <v>57.46</v>
      </c>
    </row>
    <row r="609" spans="1:22" x14ac:dyDescent="0.2">
      <c r="C609" s="26" t="str">
        <f>"Объем: "&amp;Source!I532&amp;"=452/"&amp;"100"</f>
        <v>Объем: 4,52=452/100</v>
      </c>
    </row>
    <row r="610" spans="1:22" ht="14.25" x14ac:dyDescent="0.2">
      <c r="A610" s="20"/>
      <c r="B610" s="21"/>
      <c r="C610" s="21" t="s">
        <v>685</v>
      </c>
      <c r="D610" s="22"/>
      <c r="E610" s="9"/>
      <c r="F610" s="24">
        <f>Source!AO532</f>
        <v>20505.75</v>
      </c>
      <c r="G610" s="23" t="str">
        <f>Source!DG532</f>
        <v/>
      </c>
      <c r="H610" s="9">
        <f>Source!AV532</f>
        <v>1</v>
      </c>
      <c r="I610" s="9">
        <f>IF(Source!BA532&lt;&gt; 0, Source!BA532, 1)</f>
        <v>1</v>
      </c>
      <c r="J610" s="25">
        <f>Source!S532</f>
        <v>92685.99</v>
      </c>
      <c r="K610" s="25"/>
    </row>
    <row r="611" spans="1:22" ht="14.25" x14ac:dyDescent="0.2">
      <c r="A611" s="20"/>
      <c r="B611" s="21"/>
      <c r="C611" s="21" t="s">
        <v>686</v>
      </c>
      <c r="D611" s="22"/>
      <c r="E611" s="9"/>
      <c r="F611" s="24">
        <f>Source!AM532</f>
        <v>110.56</v>
      </c>
      <c r="G611" s="23" t="str">
        <f>Source!DE532</f>
        <v/>
      </c>
      <c r="H611" s="9">
        <f>Source!AV532</f>
        <v>1</v>
      </c>
      <c r="I611" s="9">
        <f>IF(Source!BB532&lt;&gt; 0, Source!BB532, 1)</f>
        <v>1</v>
      </c>
      <c r="J611" s="25">
        <f>Source!Q532</f>
        <v>499.73</v>
      </c>
      <c r="K611" s="25"/>
    </row>
    <row r="612" spans="1:22" ht="14.25" x14ac:dyDescent="0.2">
      <c r="A612" s="20"/>
      <c r="B612" s="21"/>
      <c r="C612" s="21" t="s">
        <v>687</v>
      </c>
      <c r="D612" s="22"/>
      <c r="E612" s="9"/>
      <c r="F612" s="24">
        <f>Source!AN532</f>
        <v>11.77</v>
      </c>
      <c r="G612" s="23" t="str">
        <f>Source!DF532</f>
        <v/>
      </c>
      <c r="H612" s="9">
        <f>Source!AV532</f>
        <v>1</v>
      </c>
      <c r="I612" s="9">
        <f>IF(Source!BS532&lt;&gt; 0, Source!BS532, 1)</f>
        <v>1</v>
      </c>
      <c r="J612" s="27">
        <f>Source!R532</f>
        <v>53.2</v>
      </c>
      <c r="K612" s="25"/>
    </row>
    <row r="613" spans="1:22" ht="14.25" x14ac:dyDescent="0.2">
      <c r="A613" s="20"/>
      <c r="B613" s="21"/>
      <c r="C613" s="21" t="s">
        <v>694</v>
      </c>
      <c r="D613" s="22"/>
      <c r="E613" s="9"/>
      <c r="F613" s="24">
        <f>Source!AL532</f>
        <v>73831</v>
      </c>
      <c r="G613" s="23" t="str">
        <f>Source!DD532</f>
        <v/>
      </c>
      <c r="H613" s="9">
        <f>Source!AW532</f>
        <v>1</v>
      </c>
      <c r="I613" s="9">
        <f>IF(Source!BC532&lt;&gt; 0, Source!BC532, 1)</f>
        <v>1</v>
      </c>
      <c r="J613" s="25">
        <f>Source!P532</f>
        <v>333716.12</v>
      </c>
      <c r="K613" s="25"/>
    </row>
    <row r="614" spans="1:22" ht="14.25" x14ac:dyDescent="0.2">
      <c r="A614" s="20"/>
      <c r="B614" s="21"/>
      <c r="C614" s="21" t="s">
        <v>688</v>
      </c>
      <c r="D614" s="22" t="s">
        <v>689</v>
      </c>
      <c r="E614" s="9">
        <f>Source!AT532</f>
        <v>70</v>
      </c>
      <c r="F614" s="24"/>
      <c r="G614" s="23"/>
      <c r="H614" s="9"/>
      <c r="I614" s="9"/>
      <c r="J614" s="25">
        <f>SUM(R608:R613)</f>
        <v>64880.19</v>
      </c>
      <c r="K614" s="25"/>
    </row>
    <row r="615" spans="1:22" ht="14.25" x14ac:dyDescent="0.2">
      <c r="A615" s="20"/>
      <c r="B615" s="21"/>
      <c r="C615" s="21" t="s">
        <v>690</v>
      </c>
      <c r="D615" s="22" t="s">
        <v>689</v>
      </c>
      <c r="E615" s="9">
        <f>Source!AU532</f>
        <v>10</v>
      </c>
      <c r="F615" s="24"/>
      <c r="G615" s="23"/>
      <c r="H615" s="9"/>
      <c r="I615" s="9"/>
      <c r="J615" s="25">
        <f>SUM(T608:T614)</f>
        <v>9268.6</v>
      </c>
      <c r="K615" s="25"/>
    </row>
    <row r="616" spans="1:22" ht="14.25" x14ac:dyDescent="0.2">
      <c r="A616" s="20"/>
      <c r="B616" s="21"/>
      <c r="C616" s="21" t="s">
        <v>691</v>
      </c>
      <c r="D616" s="22" t="s">
        <v>689</v>
      </c>
      <c r="E616" s="9">
        <f>108</f>
        <v>108</v>
      </c>
      <c r="F616" s="24"/>
      <c r="G616" s="23"/>
      <c r="H616" s="9"/>
      <c r="I616" s="9"/>
      <c r="J616" s="25">
        <f>SUM(V608:V615)</f>
        <v>57.46</v>
      </c>
      <c r="K616" s="25"/>
    </row>
    <row r="617" spans="1:22" ht="14.25" x14ac:dyDescent="0.2">
      <c r="A617" s="20"/>
      <c r="B617" s="21"/>
      <c r="C617" s="21" t="s">
        <v>692</v>
      </c>
      <c r="D617" s="22" t="s">
        <v>693</v>
      </c>
      <c r="E617" s="9">
        <f>Source!AQ532</f>
        <v>91</v>
      </c>
      <c r="F617" s="24"/>
      <c r="G617" s="23" t="str">
        <f>Source!DI532</f>
        <v/>
      </c>
      <c r="H617" s="9">
        <f>Source!AV532</f>
        <v>1</v>
      </c>
      <c r="I617" s="9"/>
      <c r="J617" s="25"/>
      <c r="K617" s="25">
        <f>Source!U532</f>
        <v>411.31999999999994</v>
      </c>
    </row>
    <row r="618" spans="1:22" ht="15" x14ac:dyDescent="0.25">
      <c r="A618" s="30"/>
      <c r="B618" s="30"/>
      <c r="C618" s="30"/>
      <c r="D618" s="30"/>
      <c r="E618" s="30"/>
      <c r="F618" s="30"/>
      <c r="G618" s="30"/>
      <c r="H618" s="30"/>
      <c r="I618" s="65">
        <f>J610+J611+J613+J614+J615+J616</f>
        <v>501108.08999999997</v>
      </c>
      <c r="J618" s="65"/>
      <c r="K618" s="31">
        <f>IF(Source!I532&lt;&gt;0, ROUND(I618/Source!I532, 2), 0)</f>
        <v>110864.62</v>
      </c>
      <c r="P618" s="28">
        <f>I618</f>
        <v>501108.08999999997</v>
      </c>
    </row>
    <row r="619" spans="1:22" ht="28.5" x14ac:dyDescent="0.2">
      <c r="A619" s="20" t="str">
        <f>Source!E533</f>
        <v>53</v>
      </c>
      <c r="B619" s="21" t="str">
        <f>Source!F533</f>
        <v>1.22-3403-46-10/1</v>
      </c>
      <c r="C619" s="21" t="str">
        <f>Source!G533</f>
        <v>Установка ключа или кнопки на панели (без стоимости материалов)</v>
      </c>
      <c r="D619" s="22" t="str">
        <f>Source!DW533</f>
        <v>шт.</v>
      </c>
      <c r="E619" s="9">
        <f>Source!I533</f>
        <v>1</v>
      </c>
      <c r="F619" s="24"/>
      <c r="G619" s="23"/>
      <c r="H619" s="9"/>
      <c r="I619" s="9"/>
      <c r="J619" s="25"/>
      <c r="K619" s="25"/>
      <c r="Q619">
        <f>ROUND((Source!BZ533/100)*ROUND((Source!AF533*Source!AV533)*Source!I533, 2), 2)</f>
        <v>180.5</v>
      </c>
      <c r="R619">
        <f>Source!X533</f>
        <v>180.5</v>
      </c>
      <c r="S619">
        <f>ROUND((Source!CA533/100)*ROUND((Source!AF533*Source!AV533)*Source!I533, 2), 2)</f>
        <v>25.79</v>
      </c>
      <c r="T619">
        <f>Source!Y533</f>
        <v>25.79</v>
      </c>
      <c r="U619">
        <f>ROUND((175/100)*ROUND((Source!AE533*Source!AV533)*Source!I533, 2), 2)</f>
        <v>0</v>
      </c>
      <c r="V619">
        <f>ROUND((108/100)*ROUND(Source!CS533*Source!I533, 2), 2)</f>
        <v>0</v>
      </c>
    </row>
    <row r="620" spans="1:22" ht="14.25" x14ac:dyDescent="0.2">
      <c r="A620" s="20"/>
      <c r="B620" s="21"/>
      <c r="C620" s="21" t="s">
        <v>685</v>
      </c>
      <c r="D620" s="22"/>
      <c r="E620" s="9"/>
      <c r="F620" s="24">
        <f>Source!AO533</f>
        <v>257.86</v>
      </c>
      <c r="G620" s="23" t="str">
        <f>Source!DG533</f>
        <v/>
      </c>
      <c r="H620" s="9">
        <f>Source!AV533</f>
        <v>1</v>
      </c>
      <c r="I620" s="9">
        <f>IF(Source!BA533&lt;&gt; 0, Source!BA533, 1)</f>
        <v>1</v>
      </c>
      <c r="J620" s="25">
        <f>Source!S533</f>
        <v>257.86</v>
      </c>
      <c r="K620" s="25"/>
    </row>
    <row r="621" spans="1:22" ht="14.25" x14ac:dyDescent="0.2">
      <c r="A621" s="20"/>
      <c r="B621" s="21"/>
      <c r="C621" s="21" t="s">
        <v>688</v>
      </c>
      <c r="D621" s="22" t="s">
        <v>689</v>
      </c>
      <c r="E621" s="9">
        <f>Source!AT533</f>
        <v>70</v>
      </c>
      <c r="F621" s="24"/>
      <c r="G621" s="23"/>
      <c r="H621" s="9"/>
      <c r="I621" s="9"/>
      <c r="J621" s="25">
        <f>SUM(R619:R620)</f>
        <v>180.5</v>
      </c>
      <c r="K621" s="25"/>
    </row>
    <row r="622" spans="1:22" ht="14.25" x14ac:dyDescent="0.2">
      <c r="A622" s="20"/>
      <c r="B622" s="21"/>
      <c r="C622" s="21" t="s">
        <v>690</v>
      </c>
      <c r="D622" s="22" t="s">
        <v>689</v>
      </c>
      <c r="E622" s="9">
        <f>Source!AU533</f>
        <v>10</v>
      </c>
      <c r="F622" s="24"/>
      <c r="G622" s="23"/>
      <c r="H622" s="9"/>
      <c r="I622" s="9"/>
      <c r="J622" s="25">
        <f>SUM(T619:T621)</f>
        <v>25.79</v>
      </c>
      <c r="K622" s="25"/>
    </row>
    <row r="623" spans="1:22" ht="14.25" x14ac:dyDescent="0.2">
      <c r="A623" s="20"/>
      <c r="B623" s="21"/>
      <c r="C623" s="21" t="s">
        <v>692</v>
      </c>
      <c r="D623" s="22" t="s">
        <v>693</v>
      </c>
      <c r="E623" s="9">
        <f>Source!AQ533</f>
        <v>1.1499999999999999</v>
      </c>
      <c r="F623" s="24"/>
      <c r="G623" s="23" t="str">
        <f>Source!DI533</f>
        <v/>
      </c>
      <c r="H623" s="9">
        <f>Source!AV533</f>
        <v>1</v>
      </c>
      <c r="I623" s="9"/>
      <c r="J623" s="25"/>
      <c r="K623" s="25">
        <f>Source!U533</f>
        <v>1.1499999999999999</v>
      </c>
    </row>
    <row r="624" spans="1:22" ht="15" x14ac:dyDescent="0.25">
      <c r="A624" s="30"/>
      <c r="B624" s="30"/>
      <c r="C624" s="30"/>
      <c r="D624" s="30"/>
      <c r="E624" s="30"/>
      <c r="F624" s="30"/>
      <c r="G624" s="30"/>
      <c r="H624" s="30"/>
      <c r="I624" s="65">
        <f>J620+J621+J622</f>
        <v>464.15000000000003</v>
      </c>
      <c r="J624" s="65"/>
      <c r="K624" s="31">
        <f>IF(Source!I533&lt;&gt;0, ROUND(I624/Source!I533, 2), 0)</f>
        <v>464.15</v>
      </c>
      <c r="P624" s="28">
        <f>I624</f>
        <v>464.15000000000003</v>
      </c>
    </row>
    <row r="625" spans="1:22" ht="28.5" x14ac:dyDescent="0.2">
      <c r="A625" s="20" t="str">
        <f>Source!E534</f>
        <v>54</v>
      </c>
      <c r="B625" s="21" t="str">
        <f>Source!F534</f>
        <v>1.11-3403-5-1/2</v>
      </c>
      <c r="C625" s="21" t="str">
        <f>Source!G534</f>
        <v>Установка дверного доводчика - к металлическим дверям / масса 120 кг</v>
      </c>
      <c r="D625" s="22" t="str">
        <f>Source!DW534</f>
        <v>шт.</v>
      </c>
      <c r="E625" s="9">
        <f>Source!I534</f>
        <v>1</v>
      </c>
      <c r="F625" s="24"/>
      <c r="G625" s="23"/>
      <c r="H625" s="9"/>
      <c r="I625" s="9"/>
      <c r="J625" s="25"/>
      <c r="K625" s="25"/>
      <c r="Q625">
        <f>ROUND((Source!BZ534/100)*ROUND((Source!AF534*Source!AV534)*Source!I534, 2), 2)</f>
        <v>233.28</v>
      </c>
      <c r="R625">
        <f>Source!X534</f>
        <v>233.28</v>
      </c>
      <c r="S625">
        <f>ROUND((Source!CA534/100)*ROUND((Source!AF534*Source!AV534)*Source!I534, 2), 2)</f>
        <v>33.33</v>
      </c>
      <c r="T625">
        <f>Source!Y534</f>
        <v>33.33</v>
      </c>
      <c r="U625">
        <f>ROUND((175/100)*ROUND((Source!AE534*Source!AV534)*Source!I534, 2), 2)</f>
        <v>0.32</v>
      </c>
      <c r="V625">
        <f>ROUND((108/100)*ROUND(Source!CS534*Source!I534, 2), 2)</f>
        <v>0.19</v>
      </c>
    </row>
    <row r="626" spans="1:22" ht="14.25" x14ac:dyDescent="0.2">
      <c r="A626" s="20"/>
      <c r="B626" s="21"/>
      <c r="C626" s="21" t="s">
        <v>685</v>
      </c>
      <c r="D626" s="22"/>
      <c r="E626" s="9"/>
      <c r="F626" s="24">
        <f>Source!AO534</f>
        <v>333.25</v>
      </c>
      <c r="G626" s="23" t="str">
        <f>Source!DG534</f>
        <v/>
      </c>
      <c r="H626" s="9">
        <f>Source!AV534</f>
        <v>1</v>
      </c>
      <c r="I626" s="9">
        <f>IF(Source!BA534&lt;&gt; 0, Source!BA534, 1)</f>
        <v>1</v>
      </c>
      <c r="J626" s="25">
        <f>Source!S534</f>
        <v>333.25</v>
      </c>
      <c r="K626" s="25"/>
    </row>
    <row r="627" spans="1:22" ht="14.25" x14ac:dyDescent="0.2">
      <c r="A627" s="20"/>
      <c r="B627" s="21"/>
      <c r="C627" s="21" t="s">
        <v>686</v>
      </c>
      <c r="D627" s="22"/>
      <c r="E627" s="9"/>
      <c r="F627" s="24">
        <f>Source!AM534</f>
        <v>10.83</v>
      </c>
      <c r="G627" s="23" t="str">
        <f>Source!DE534</f>
        <v/>
      </c>
      <c r="H627" s="9">
        <f>Source!AV534</f>
        <v>1</v>
      </c>
      <c r="I627" s="9">
        <f>IF(Source!BB534&lt;&gt; 0, Source!BB534, 1)</f>
        <v>1</v>
      </c>
      <c r="J627" s="25">
        <f>Source!Q534</f>
        <v>10.83</v>
      </c>
      <c r="K627" s="25"/>
    </row>
    <row r="628" spans="1:22" ht="14.25" x14ac:dyDescent="0.2">
      <c r="A628" s="20"/>
      <c r="B628" s="21"/>
      <c r="C628" s="21" t="s">
        <v>687</v>
      </c>
      <c r="D628" s="22"/>
      <c r="E628" s="9"/>
      <c r="F628" s="24">
        <f>Source!AN534</f>
        <v>0.18</v>
      </c>
      <c r="G628" s="23" t="str">
        <f>Source!DF534</f>
        <v/>
      </c>
      <c r="H628" s="9">
        <f>Source!AV534</f>
        <v>1</v>
      </c>
      <c r="I628" s="9">
        <f>IF(Source!BS534&lt;&gt; 0, Source!BS534, 1)</f>
        <v>1</v>
      </c>
      <c r="J628" s="27">
        <f>Source!R534</f>
        <v>0.18</v>
      </c>
      <c r="K628" s="25"/>
    </row>
    <row r="629" spans="1:22" ht="14.25" x14ac:dyDescent="0.2">
      <c r="A629" s="20"/>
      <c r="B629" s="21"/>
      <c r="C629" s="21" t="s">
        <v>694</v>
      </c>
      <c r="D629" s="22"/>
      <c r="E629" s="9"/>
      <c r="F629" s="24">
        <f>Source!AL534</f>
        <v>10241.27</v>
      </c>
      <c r="G629" s="23" t="str">
        <f>Source!DD534</f>
        <v/>
      </c>
      <c r="H629" s="9">
        <f>Source!AW534</f>
        <v>1</v>
      </c>
      <c r="I629" s="9">
        <f>IF(Source!BC534&lt;&gt; 0, Source!BC534, 1)</f>
        <v>1</v>
      </c>
      <c r="J629" s="25">
        <f>Source!P534</f>
        <v>10241.27</v>
      </c>
      <c r="K629" s="25"/>
    </row>
    <row r="630" spans="1:22" ht="14.25" x14ac:dyDescent="0.2">
      <c r="A630" s="20"/>
      <c r="B630" s="21"/>
      <c r="C630" s="21" t="s">
        <v>688</v>
      </c>
      <c r="D630" s="22" t="s">
        <v>689</v>
      </c>
      <c r="E630" s="9">
        <f>Source!AT534</f>
        <v>70</v>
      </c>
      <c r="F630" s="24"/>
      <c r="G630" s="23"/>
      <c r="H630" s="9"/>
      <c r="I630" s="9"/>
      <c r="J630" s="25">
        <f>SUM(R625:R629)</f>
        <v>233.28</v>
      </c>
      <c r="K630" s="25"/>
    </row>
    <row r="631" spans="1:22" ht="14.25" x14ac:dyDescent="0.2">
      <c r="A631" s="20"/>
      <c r="B631" s="21"/>
      <c r="C631" s="21" t="s">
        <v>690</v>
      </c>
      <c r="D631" s="22" t="s">
        <v>689</v>
      </c>
      <c r="E631" s="9">
        <f>Source!AU534</f>
        <v>10</v>
      </c>
      <c r="F631" s="24"/>
      <c r="G631" s="23"/>
      <c r="H631" s="9"/>
      <c r="I631" s="9"/>
      <c r="J631" s="25">
        <f>SUM(T625:T630)</f>
        <v>33.33</v>
      </c>
      <c r="K631" s="25"/>
    </row>
    <row r="632" spans="1:22" ht="14.25" x14ac:dyDescent="0.2">
      <c r="A632" s="20"/>
      <c r="B632" s="21"/>
      <c r="C632" s="21" t="s">
        <v>691</v>
      </c>
      <c r="D632" s="22" t="s">
        <v>689</v>
      </c>
      <c r="E632" s="9">
        <f>108</f>
        <v>108</v>
      </c>
      <c r="F632" s="24"/>
      <c r="G632" s="23"/>
      <c r="H632" s="9"/>
      <c r="I632" s="9"/>
      <c r="J632" s="25">
        <f>SUM(V625:V631)</f>
        <v>0.19</v>
      </c>
      <c r="K632" s="25"/>
    </row>
    <row r="633" spans="1:22" ht="14.25" x14ac:dyDescent="0.2">
      <c r="A633" s="20"/>
      <c r="B633" s="21"/>
      <c r="C633" s="21" t="s">
        <v>692</v>
      </c>
      <c r="D633" s="22" t="s">
        <v>693</v>
      </c>
      <c r="E633" s="9">
        <f>Source!AQ534</f>
        <v>1.28</v>
      </c>
      <c r="F633" s="24"/>
      <c r="G633" s="23" t="str">
        <f>Source!DI534</f>
        <v/>
      </c>
      <c r="H633" s="9">
        <f>Source!AV534</f>
        <v>1</v>
      </c>
      <c r="I633" s="9"/>
      <c r="J633" s="25"/>
      <c r="K633" s="25">
        <f>Source!U534</f>
        <v>1.28</v>
      </c>
    </row>
    <row r="634" spans="1:22" ht="15" x14ac:dyDescent="0.25">
      <c r="A634" s="30"/>
      <c r="B634" s="30"/>
      <c r="C634" s="30"/>
      <c r="D634" s="30"/>
      <c r="E634" s="30"/>
      <c r="F634" s="30"/>
      <c r="G634" s="30"/>
      <c r="H634" s="30"/>
      <c r="I634" s="65">
        <f>J626+J627+J629+J630+J631+J632</f>
        <v>10852.150000000001</v>
      </c>
      <c r="J634" s="65"/>
      <c r="K634" s="31">
        <f>IF(Source!I534&lt;&gt;0, ROUND(I634/Source!I534, 2), 0)</f>
        <v>10852.15</v>
      </c>
      <c r="P634" s="28">
        <f>I634</f>
        <v>10852.150000000001</v>
      </c>
    </row>
    <row r="635" spans="1:22" ht="57" x14ac:dyDescent="0.2">
      <c r="A635" s="20" t="str">
        <f>Source!E535</f>
        <v>55</v>
      </c>
      <c r="B635" s="21" t="str">
        <f>Source!F535</f>
        <v>2.9-3103-58-2/1</v>
      </c>
      <c r="C635" s="21" t="str">
        <f>Source!G535</f>
        <v>Установка аппарата управления и сигнализации, количество подключаемых концов до 6 (без стоимости основных материалов)</v>
      </c>
      <c r="D635" s="22" t="str">
        <f>Source!DW535</f>
        <v>шт.</v>
      </c>
      <c r="E635" s="9">
        <f>Source!I535</f>
        <v>1</v>
      </c>
      <c r="F635" s="24"/>
      <c r="G635" s="23"/>
      <c r="H635" s="9"/>
      <c r="I635" s="9"/>
      <c r="J635" s="25"/>
      <c r="K635" s="25"/>
      <c r="Q635">
        <f>ROUND((Source!BZ535/100)*ROUND((Source!AF535*Source!AV535)*Source!I535, 2), 2)</f>
        <v>203.44</v>
      </c>
      <c r="R635">
        <f>Source!X535</f>
        <v>203.44</v>
      </c>
      <c r="S635">
        <f>ROUND((Source!CA535/100)*ROUND((Source!AF535*Source!AV535)*Source!I535, 2), 2)</f>
        <v>29.06</v>
      </c>
      <c r="T635">
        <f>Source!Y535</f>
        <v>29.06</v>
      </c>
      <c r="U635">
        <f>ROUND((175/100)*ROUND((Source!AE535*Source!AV535)*Source!I535, 2), 2)</f>
        <v>0</v>
      </c>
      <c r="V635">
        <f>ROUND((108/100)*ROUND(Source!CS535*Source!I535, 2), 2)</f>
        <v>0</v>
      </c>
    </row>
    <row r="636" spans="1:22" ht="14.25" x14ac:dyDescent="0.2">
      <c r="A636" s="20"/>
      <c r="B636" s="21"/>
      <c r="C636" s="21" t="s">
        <v>685</v>
      </c>
      <c r="D636" s="22"/>
      <c r="E636" s="9"/>
      <c r="F636" s="24">
        <f>Source!AO535</f>
        <v>290.63</v>
      </c>
      <c r="G636" s="23" t="str">
        <f>Source!DG535</f>
        <v/>
      </c>
      <c r="H636" s="9">
        <f>Source!AV535</f>
        <v>1</v>
      </c>
      <c r="I636" s="9">
        <f>IF(Source!BA535&lt;&gt; 0, Source!BA535, 1)</f>
        <v>1</v>
      </c>
      <c r="J636" s="25">
        <f>Source!S535</f>
        <v>290.63</v>
      </c>
      <c r="K636" s="25"/>
    </row>
    <row r="637" spans="1:22" ht="14.25" x14ac:dyDescent="0.2">
      <c r="A637" s="20"/>
      <c r="B637" s="21"/>
      <c r="C637" s="21" t="s">
        <v>694</v>
      </c>
      <c r="D637" s="22"/>
      <c r="E637" s="9"/>
      <c r="F637" s="24">
        <f>Source!AL535</f>
        <v>9.01</v>
      </c>
      <c r="G637" s="23" t="str">
        <f>Source!DD535</f>
        <v/>
      </c>
      <c r="H637" s="9">
        <f>Source!AW535</f>
        <v>1</v>
      </c>
      <c r="I637" s="9">
        <f>IF(Source!BC535&lt;&gt; 0, Source!BC535, 1)</f>
        <v>1</v>
      </c>
      <c r="J637" s="25">
        <f>Source!P535</f>
        <v>9.01</v>
      </c>
      <c r="K637" s="25"/>
    </row>
    <row r="638" spans="1:22" ht="14.25" x14ac:dyDescent="0.2">
      <c r="A638" s="20"/>
      <c r="B638" s="21"/>
      <c r="C638" s="21" t="s">
        <v>688</v>
      </c>
      <c r="D638" s="22" t="s">
        <v>689</v>
      </c>
      <c r="E638" s="9">
        <f>Source!AT535</f>
        <v>70</v>
      </c>
      <c r="F638" s="24"/>
      <c r="G638" s="23"/>
      <c r="H638" s="9"/>
      <c r="I638" s="9"/>
      <c r="J638" s="25">
        <f>SUM(R635:R637)</f>
        <v>203.44</v>
      </c>
      <c r="K638" s="25"/>
    </row>
    <row r="639" spans="1:22" ht="14.25" x14ac:dyDescent="0.2">
      <c r="A639" s="20"/>
      <c r="B639" s="21"/>
      <c r="C639" s="21" t="s">
        <v>690</v>
      </c>
      <c r="D639" s="22" t="s">
        <v>689</v>
      </c>
      <c r="E639" s="9">
        <f>Source!AU535</f>
        <v>10</v>
      </c>
      <c r="F639" s="24"/>
      <c r="G639" s="23"/>
      <c r="H639" s="9"/>
      <c r="I639" s="9"/>
      <c r="J639" s="25">
        <f>SUM(T635:T638)</f>
        <v>29.06</v>
      </c>
      <c r="K639" s="25"/>
    </row>
    <row r="640" spans="1:22" ht="14.25" x14ac:dyDescent="0.2">
      <c r="A640" s="20"/>
      <c r="B640" s="21"/>
      <c r="C640" s="21" t="s">
        <v>692</v>
      </c>
      <c r="D640" s="22" t="s">
        <v>693</v>
      </c>
      <c r="E640" s="9">
        <f>Source!AQ535</f>
        <v>1.18</v>
      </c>
      <c r="F640" s="24"/>
      <c r="G640" s="23" t="str">
        <f>Source!DI535</f>
        <v/>
      </c>
      <c r="H640" s="9">
        <f>Source!AV535</f>
        <v>1</v>
      </c>
      <c r="I640" s="9"/>
      <c r="J640" s="25"/>
      <c r="K640" s="25">
        <f>Source!U535</f>
        <v>1.18</v>
      </c>
    </row>
    <row r="641" spans="1:22" ht="15" x14ac:dyDescent="0.25">
      <c r="A641" s="30"/>
      <c r="B641" s="30"/>
      <c r="C641" s="30"/>
      <c r="D641" s="30"/>
      <c r="E641" s="30"/>
      <c r="F641" s="30"/>
      <c r="G641" s="30"/>
      <c r="H641" s="30"/>
      <c r="I641" s="65">
        <f>J636+J637+J638+J639</f>
        <v>532.14</v>
      </c>
      <c r="J641" s="65"/>
      <c r="K641" s="31">
        <f>IF(Source!I535&lt;&gt;0, ROUND(I641/Source!I535, 2), 0)</f>
        <v>532.14</v>
      </c>
      <c r="P641" s="28">
        <f>I641</f>
        <v>532.14</v>
      </c>
    </row>
    <row r="642" spans="1:22" ht="14.25" x14ac:dyDescent="0.2">
      <c r="C642" s="32" t="str">
        <f>Source!G536</f>
        <v>Электромагнитный замок</v>
      </c>
    </row>
    <row r="644" spans="1:22" ht="15" x14ac:dyDescent="0.25">
      <c r="A644" s="69" t="str">
        <f>CONCATENATE("Итого по подразделу: ",IF(Source!G538&lt;&gt;"Новый подраздел", Source!G538, ""))</f>
        <v>Итого по подразделу: Строительные работы</v>
      </c>
      <c r="B644" s="69"/>
      <c r="C644" s="69"/>
      <c r="D644" s="69"/>
      <c r="E644" s="69"/>
      <c r="F644" s="69"/>
      <c r="G644" s="69"/>
      <c r="H644" s="69"/>
      <c r="I644" s="66">
        <f>SUM(P564:P643)</f>
        <v>2123104.58</v>
      </c>
      <c r="J644" s="67"/>
      <c r="K644" s="33"/>
    </row>
    <row r="647" spans="1:22" ht="15" x14ac:dyDescent="0.25">
      <c r="A647" s="69" t="str">
        <f>CONCATENATE("Итого по разделу: ",IF(Source!G568&lt;&gt;"Новый раздел", Source!G568, ""))</f>
        <v>Итого по разделу: Забор</v>
      </c>
      <c r="B647" s="69"/>
      <c r="C647" s="69"/>
      <c r="D647" s="69"/>
      <c r="E647" s="69"/>
      <c r="F647" s="69"/>
      <c r="G647" s="69"/>
      <c r="H647" s="69"/>
      <c r="I647" s="66">
        <f>SUM(P548:P646)</f>
        <v>2167739.0300000003</v>
      </c>
      <c r="J647" s="67"/>
      <c r="K647" s="33"/>
    </row>
    <row r="650" spans="1:22" ht="16.5" x14ac:dyDescent="0.25">
      <c r="A650" s="68" t="str">
        <f>CONCATENATE("Раздел: ",IF(Source!G598&lt;&gt;"Новый раздел", Source!G598, ""))</f>
        <v>Раздел: Асфальт</v>
      </c>
      <c r="B650" s="68"/>
      <c r="C650" s="68"/>
      <c r="D650" s="68"/>
      <c r="E650" s="68"/>
      <c r="F650" s="68"/>
      <c r="G650" s="68"/>
      <c r="H650" s="68"/>
      <c r="I650" s="68"/>
      <c r="J650" s="68"/>
      <c r="K650" s="68"/>
    </row>
    <row r="652" spans="1:22" ht="16.5" x14ac:dyDescent="0.25">
      <c r="A652" s="68" t="str">
        <f>CONCATENATE("Подраздел: ",IF(Source!G602&lt;&gt;"Новый подраздел", Source!G602, ""))</f>
        <v>Подраздел: Строительные работы</v>
      </c>
      <c r="B652" s="68"/>
      <c r="C652" s="68"/>
      <c r="D652" s="68"/>
      <c r="E652" s="68"/>
      <c r="F652" s="68"/>
      <c r="G652" s="68"/>
      <c r="H652" s="68"/>
      <c r="I652" s="68"/>
      <c r="J652" s="68"/>
      <c r="K652" s="68"/>
    </row>
    <row r="653" spans="1:22" ht="28.5" x14ac:dyDescent="0.2">
      <c r="A653" s="20" t="str">
        <f>Source!E606</f>
        <v>56</v>
      </c>
      <c r="B653" s="21" t="str">
        <f>Source!F606</f>
        <v>2.1-3202-1-1/1</v>
      </c>
      <c r="C653" s="21" t="str">
        <f>Source!G606</f>
        <v>Замена бортового камня бетонного во дворовых территориях</v>
      </c>
      <c r="D653" s="22" t="str">
        <f>Source!DW606</f>
        <v>м</v>
      </c>
      <c r="E653" s="9">
        <f>Source!I606</f>
        <v>235</v>
      </c>
      <c r="F653" s="24"/>
      <c r="G653" s="23"/>
      <c r="H653" s="9"/>
      <c r="I653" s="9"/>
      <c r="J653" s="25"/>
      <c r="K653" s="25"/>
      <c r="Q653">
        <f>ROUND((Source!BZ606/100)*ROUND((Source!AF606*Source!AV606)*Source!I606, 2), 2)</f>
        <v>23209.31</v>
      </c>
      <c r="R653">
        <f>Source!X606</f>
        <v>23209.31</v>
      </c>
      <c r="S653">
        <f>ROUND((Source!CA606/100)*ROUND((Source!AF606*Source!AV606)*Source!I606, 2), 2)</f>
        <v>3315.62</v>
      </c>
      <c r="T653">
        <f>Source!Y606</f>
        <v>3315.62</v>
      </c>
      <c r="U653">
        <f>ROUND((175/100)*ROUND((Source!AE606*Source!AV606)*Source!I606, 2), 2)</f>
        <v>44266.95</v>
      </c>
      <c r="V653">
        <f>ROUND((108/100)*ROUND(Source!CS606*Source!I606, 2), 2)</f>
        <v>27319.03</v>
      </c>
    </row>
    <row r="654" spans="1:22" ht="14.25" x14ac:dyDescent="0.2">
      <c r="A654" s="20"/>
      <c r="B654" s="21"/>
      <c r="C654" s="21" t="s">
        <v>685</v>
      </c>
      <c r="D654" s="22"/>
      <c r="E654" s="9"/>
      <c r="F654" s="24">
        <f>Source!AO606</f>
        <v>141.09</v>
      </c>
      <c r="G654" s="23" t="str">
        <f>Source!DG606</f>
        <v/>
      </c>
      <c r="H654" s="9">
        <f>Source!AV606</f>
        <v>1</v>
      </c>
      <c r="I654" s="9">
        <f>IF(Source!BA606&lt;&gt; 0, Source!BA606, 1)</f>
        <v>1</v>
      </c>
      <c r="J654" s="25">
        <f>Source!S606</f>
        <v>33156.15</v>
      </c>
      <c r="K654" s="25"/>
    </row>
    <row r="655" spans="1:22" ht="14.25" x14ac:dyDescent="0.2">
      <c r="A655" s="20"/>
      <c r="B655" s="21"/>
      <c r="C655" s="21" t="s">
        <v>686</v>
      </c>
      <c r="D655" s="22"/>
      <c r="E655" s="9"/>
      <c r="F655" s="24">
        <f>Source!AM606</f>
        <v>191.33</v>
      </c>
      <c r="G655" s="23" t="str">
        <f>Source!DE606</f>
        <v/>
      </c>
      <c r="H655" s="9">
        <f>Source!AV606</f>
        <v>1</v>
      </c>
      <c r="I655" s="9">
        <f>IF(Source!BB606&lt;&gt; 0, Source!BB606, 1)</f>
        <v>1</v>
      </c>
      <c r="J655" s="25">
        <f>Source!Q606</f>
        <v>44962.55</v>
      </c>
      <c r="K655" s="25"/>
    </row>
    <row r="656" spans="1:22" ht="14.25" x14ac:dyDescent="0.2">
      <c r="A656" s="20"/>
      <c r="B656" s="21"/>
      <c r="C656" s="21" t="s">
        <v>687</v>
      </c>
      <c r="D656" s="22"/>
      <c r="E656" s="9"/>
      <c r="F656" s="24">
        <f>Source!AN606</f>
        <v>107.64</v>
      </c>
      <c r="G656" s="23" t="str">
        <f>Source!DF606</f>
        <v/>
      </c>
      <c r="H656" s="9">
        <f>Source!AV606</f>
        <v>1</v>
      </c>
      <c r="I656" s="9">
        <f>IF(Source!BS606&lt;&gt; 0, Source!BS606, 1)</f>
        <v>1</v>
      </c>
      <c r="J656" s="27">
        <f>Source!R606</f>
        <v>25295.4</v>
      </c>
      <c r="K656" s="25"/>
    </row>
    <row r="657" spans="1:22" ht="14.25" x14ac:dyDescent="0.2">
      <c r="A657" s="20"/>
      <c r="B657" s="21"/>
      <c r="C657" s="21" t="s">
        <v>694</v>
      </c>
      <c r="D657" s="22"/>
      <c r="E657" s="9"/>
      <c r="F657" s="24">
        <f>Source!AL606</f>
        <v>561.54</v>
      </c>
      <c r="G657" s="23" t="str">
        <f>Source!DD606</f>
        <v/>
      </c>
      <c r="H657" s="9">
        <f>Source!AW606</f>
        <v>1</v>
      </c>
      <c r="I657" s="9">
        <f>IF(Source!BC606&lt;&gt; 0, Source!BC606, 1)</f>
        <v>1</v>
      </c>
      <c r="J657" s="25">
        <f>Source!P606</f>
        <v>131961.9</v>
      </c>
      <c r="K657" s="25"/>
    </row>
    <row r="658" spans="1:22" ht="14.25" x14ac:dyDescent="0.2">
      <c r="A658" s="20"/>
      <c r="B658" s="21"/>
      <c r="C658" s="21" t="s">
        <v>688</v>
      </c>
      <c r="D658" s="22" t="s">
        <v>689</v>
      </c>
      <c r="E658" s="9">
        <f>Source!AT606</f>
        <v>70</v>
      </c>
      <c r="F658" s="24"/>
      <c r="G658" s="23"/>
      <c r="H658" s="9"/>
      <c r="I658" s="9"/>
      <c r="J658" s="25">
        <f>SUM(R653:R657)</f>
        <v>23209.31</v>
      </c>
      <c r="K658" s="25"/>
    </row>
    <row r="659" spans="1:22" ht="14.25" x14ac:dyDescent="0.2">
      <c r="A659" s="20"/>
      <c r="B659" s="21"/>
      <c r="C659" s="21" t="s">
        <v>690</v>
      </c>
      <c r="D659" s="22" t="s">
        <v>689</v>
      </c>
      <c r="E659" s="9">
        <f>Source!AU606</f>
        <v>10</v>
      </c>
      <c r="F659" s="24"/>
      <c r="G659" s="23"/>
      <c r="H659" s="9"/>
      <c r="I659" s="9"/>
      <c r="J659" s="25">
        <f>SUM(T653:T658)</f>
        <v>3315.62</v>
      </c>
      <c r="K659" s="25"/>
    </row>
    <row r="660" spans="1:22" ht="14.25" x14ac:dyDescent="0.2">
      <c r="A660" s="20"/>
      <c r="B660" s="21"/>
      <c r="C660" s="21" t="s">
        <v>691</v>
      </c>
      <c r="D660" s="22" t="s">
        <v>689</v>
      </c>
      <c r="E660" s="9">
        <f>108</f>
        <v>108</v>
      </c>
      <c r="F660" s="24"/>
      <c r="G660" s="23"/>
      <c r="H660" s="9"/>
      <c r="I660" s="9"/>
      <c r="J660" s="25">
        <f>SUM(V653:V659)</f>
        <v>27319.03</v>
      </c>
      <c r="K660" s="25"/>
    </row>
    <row r="661" spans="1:22" ht="14.25" x14ac:dyDescent="0.2">
      <c r="A661" s="20"/>
      <c r="B661" s="21"/>
      <c r="C661" s="21" t="s">
        <v>692</v>
      </c>
      <c r="D661" s="22" t="s">
        <v>693</v>
      </c>
      <c r="E661" s="9">
        <f>Source!AQ606</f>
        <v>0.66</v>
      </c>
      <c r="F661" s="24"/>
      <c r="G661" s="23" t="str">
        <f>Source!DI606</f>
        <v/>
      </c>
      <c r="H661" s="9">
        <f>Source!AV606</f>
        <v>1</v>
      </c>
      <c r="I661" s="9"/>
      <c r="J661" s="25"/>
      <c r="K661" s="25">
        <f>Source!U606</f>
        <v>155.1</v>
      </c>
    </row>
    <row r="662" spans="1:22" ht="15" x14ac:dyDescent="0.25">
      <c r="A662" s="30"/>
      <c r="B662" s="30"/>
      <c r="C662" s="30"/>
      <c r="D662" s="30"/>
      <c r="E662" s="30"/>
      <c r="F662" s="30"/>
      <c r="G662" s="30"/>
      <c r="H662" s="30"/>
      <c r="I662" s="65">
        <f>J654+J655+J657+J658+J659+J660</f>
        <v>263924.56</v>
      </c>
      <c r="J662" s="65"/>
      <c r="K662" s="31">
        <f>IF(Source!I606&lt;&gt;0, ROUND(I662/Source!I606, 2), 0)</f>
        <v>1123.08</v>
      </c>
      <c r="P662" s="28">
        <f>I662</f>
        <v>263924.56</v>
      </c>
    </row>
    <row r="663" spans="1:22" ht="57" x14ac:dyDescent="0.2">
      <c r="A663" s="20" t="str">
        <f>Source!E607</f>
        <v>57</v>
      </c>
      <c r="B663" s="21" t="str">
        <f>Source!F607</f>
        <v>1.10-3303-2-3/1</v>
      </c>
      <c r="C663" s="21" t="str">
        <f>Source!G607</f>
        <v>Устройство покрытий из асфальтобетонных горячих мелкозернистых смесей, марка II, тип В,  толщиной 25 мм</v>
      </c>
      <c r="D663" s="22" t="str">
        <f>Source!DW607</f>
        <v>100 м2</v>
      </c>
      <c r="E663" s="9">
        <f>Source!I607</f>
        <v>11.100899999999999</v>
      </c>
      <c r="F663" s="24"/>
      <c r="G663" s="23"/>
      <c r="H663" s="9"/>
      <c r="I663" s="9"/>
      <c r="J663" s="25"/>
      <c r="K663" s="25"/>
      <c r="Q663">
        <f>ROUND((Source!BZ607/100)*ROUND((Source!AF607*Source!AV607)*Source!I607, 2), 2)</f>
        <v>25279.02</v>
      </c>
      <c r="R663">
        <f>Source!X607</f>
        <v>25279.02</v>
      </c>
      <c r="S663">
        <f>ROUND((Source!CA607/100)*ROUND((Source!AF607*Source!AV607)*Source!I607, 2), 2)</f>
        <v>3611.29</v>
      </c>
      <c r="T663">
        <f>Source!Y607</f>
        <v>3611.29</v>
      </c>
      <c r="U663">
        <f>ROUND((175/100)*ROUND((Source!AE607*Source!AV607)*Source!I607, 2), 2)</f>
        <v>23467.89</v>
      </c>
      <c r="V663">
        <f>ROUND((108/100)*ROUND(Source!CS607*Source!I607, 2), 2)</f>
        <v>14483.04</v>
      </c>
    </row>
    <row r="664" spans="1:22" x14ac:dyDescent="0.2">
      <c r="C664" s="26" t="str">
        <f>"Объем: "&amp;Source!I607&amp;"=1110,09/"&amp;"100"</f>
        <v>Объем: 11,1009=1110,09/100</v>
      </c>
    </row>
    <row r="665" spans="1:22" ht="14.25" x14ac:dyDescent="0.2">
      <c r="A665" s="20"/>
      <c r="B665" s="21"/>
      <c r="C665" s="21" t="s">
        <v>685</v>
      </c>
      <c r="D665" s="22"/>
      <c r="E665" s="9"/>
      <c r="F665" s="24">
        <f>Source!AO607</f>
        <v>3253.15</v>
      </c>
      <c r="G665" s="23" t="str">
        <f>Source!DG607</f>
        <v/>
      </c>
      <c r="H665" s="9">
        <f>Source!AV607</f>
        <v>1</v>
      </c>
      <c r="I665" s="9">
        <f>IF(Source!BA607&lt;&gt; 0, Source!BA607, 1)</f>
        <v>1</v>
      </c>
      <c r="J665" s="25">
        <f>Source!S607</f>
        <v>36112.89</v>
      </c>
      <c r="K665" s="25"/>
    </row>
    <row r="666" spans="1:22" ht="14.25" x14ac:dyDescent="0.2">
      <c r="A666" s="20"/>
      <c r="B666" s="21"/>
      <c r="C666" s="21" t="s">
        <v>686</v>
      </c>
      <c r="D666" s="22"/>
      <c r="E666" s="9"/>
      <c r="F666" s="24">
        <f>Source!AM607</f>
        <v>2014.79</v>
      </c>
      <c r="G666" s="23" t="str">
        <f>Source!DE607</f>
        <v/>
      </c>
      <c r="H666" s="9">
        <f>Source!AV607</f>
        <v>1</v>
      </c>
      <c r="I666" s="9">
        <f>IF(Source!BB607&lt;&gt; 0, Source!BB607, 1)</f>
        <v>1</v>
      </c>
      <c r="J666" s="25">
        <f>Source!Q607</f>
        <v>22365.98</v>
      </c>
      <c r="K666" s="25"/>
    </row>
    <row r="667" spans="1:22" ht="14.25" x14ac:dyDescent="0.2">
      <c r="A667" s="20"/>
      <c r="B667" s="21"/>
      <c r="C667" s="21" t="s">
        <v>687</v>
      </c>
      <c r="D667" s="22"/>
      <c r="E667" s="9"/>
      <c r="F667" s="24">
        <f>Source!AN607</f>
        <v>1208.03</v>
      </c>
      <c r="G667" s="23" t="str">
        <f>Source!DF607</f>
        <v/>
      </c>
      <c r="H667" s="9">
        <f>Source!AV607</f>
        <v>1</v>
      </c>
      <c r="I667" s="9">
        <f>IF(Source!BS607&lt;&gt; 0, Source!BS607, 1)</f>
        <v>1</v>
      </c>
      <c r="J667" s="27">
        <f>Source!R607</f>
        <v>13410.22</v>
      </c>
      <c r="K667" s="25"/>
    </row>
    <row r="668" spans="1:22" ht="14.25" x14ac:dyDescent="0.2">
      <c r="A668" s="20"/>
      <c r="B668" s="21"/>
      <c r="C668" s="21" t="s">
        <v>694</v>
      </c>
      <c r="D668" s="22"/>
      <c r="E668" s="9"/>
      <c r="F668" s="24">
        <f>Source!AL607</f>
        <v>17411.05</v>
      </c>
      <c r="G668" s="23" t="str">
        <f>Source!DD607</f>
        <v/>
      </c>
      <c r="H668" s="9">
        <f>Source!AW607</f>
        <v>1</v>
      </c>
      <c r="I668" s="9">
        <f>IF(Source!BC607&lt;&gt; 0, Source!BC607, 1)</f>
        <v>1</v>
      </c>
      <c r="J668" s="25">
        <f>Source!P607</f>
        <v>193278.32</v>
      </c>
      <c r="K668" s="25"/>
    </row>
    <row r="669" spans="1:22" ht="14.25" x14ac:dyDescent="0.2">
      <c r="A669" s="20"/>
      <c r="B669" s="21"/>
      <c r="C669" s="21" t="s">
        <v>688</v>
      </c>
      <c r="D669" s="22" t="s">
        <v>689</v>
      </c>
      <c r="E669" s="9">
        <f>Source!AT607</f>
        <v>70</v>
      </c>
      <c r="F669" s="24"/>
      <c r="G669" s="23"/>
      <c r="H669" s="9"/>
      <c r="I669" s="9"/>
      <c r="J669" s="25">
        <f>SUM(R663:R668)</f>
        <v>25279.02</v>
      </c>
      <c r="K669" s="25"/>
    </row>
    <row r="670" spans="1:22" ht="14.25" x14ac:dyDescent="0.2">
      <c r="A670" s="20"/>
      <c r="B670" s="21"/>
      <c r="C670" s="21" t="s">
        <v>690</v>
      </c>
      <c r="D670" s="22" t="s">
        <v>689</v>
      </c>
      <c r="E670" s="9">
        <f>Source!AU607</f>
        <v>10</v>
      </c>
      <c r="F670" s="24"/>
      <c r="G670" s="23"/>
      <c r="H670" s="9"/>
      <c r="I670" s="9"/>
      <c r="J670" s="25">
        <f>SUM(T663:T669)</f>
        <v>3611.29</v>
      </c>
      <c r="K670" s="25"/>
    </row>
    <row r="671" spans="1:22" ht="14.25" x14ac:dyDescent="0.2">
      <c r="A671" s="20"/>
      <c r="B671" s="21"/>
      <c r="C671" s="21" t="s">
        <v>691</v>
      </c>
      <c r="D671" s="22" t="s">
        <v>689</v>
      </c>
      <c r="E671" s="9">
        <f>108</f>
        <v>108</v>
      </c>
      <c r="F671" s="24"/>
      <c r="G671" s="23"/>
      <c r="H671" s="9"/>
      <c r="I671" s="9"/>
      <c r="J671" s="25">
        <f>SUM(V663:V670)</f>
        <v>14483.04</v>
      </c>
      <c r="K671" s="25"/>
    </row>
    <row r="672" spans="1:22" ht="14.25" x14ac:dyDescent="0.2">
      <c r="A672" s="20"/>
      <c r="B672" s="21"/>
      <c r="C672" s="21" t="s">
        <v>692</v>
      </c>
      <c r="D672" s="22" t="s">
        <v>693</v>
      </c>
      <c r="E672" s="9">
        <f>Source!AQ607</f>
        <v>16.440000000000001</v>
      </c>
      <c r="F672" s="24"/>
      <c r="G672" s="23" t="str">
        <f>Source!DI607</f>
        <v/>
      </c>
      <c r="H672" s="9">
        <f>Source!AV607</f>
        <v>1</v>
      </c>
      <c r="I672" s="9"/>
      <c r="J672" s="25"/>
      <c r="K672" s="25">
        <f>Source!U607</f>
        <v>182.498796</v>
      </c>
    </row>
    <row r="673" spans="1:22" ht="15" x14ac:dyDescent="0.25">
      <c r="A673" s="30"/>
      <c r="B673" s="30"/>
      <c r="C673" s="30"/>
      <c r="D673" s="30"/>
      <c r="E673" s="30"/>
      <c r="F673" s="30"/>
      <c r="G673" s="30"/>
      <c r="H673" s="30"/>
      <c r="I673" s="65">
        <f>J665+J666+J668+J669+J670+J671</f>
        <v>295130.53999999998</v>
      </c>
      <c r="J673" s="65"/>
      <c r="K673" s="31">
        <f>IF(Source!I607&lt;&gt;0, ROUND(I673/Source!I607, 2), 0)</f>
        <v>26586.18</v>
      </c>
      <c r="P673" s="28">
        <f>I673</f>
        <v>295130.53999999998</v>
      </c>
    </row>
    <row r="674" spans="1:22" ht="28.5" x14ac:dyDescent="0.2">
      <c r="A674" s="20" t="str">
        <f>Source!E608</f>
        <v>58</v>
      </c>
      <c r="B674" s="21" t="str">
        <f>Source!F608</f>
        <v>1.10-3303-2-4/1</v>
      </c>
      <c r="C674" s="21" t="str">
        <f>Source!G608</f>
        <v>Добавлять или исключать на 5 мм изменения толщины к поз.10-3303-2-3</v>
      </c>
      <c r="D674" s="22" t="str">
        <f>Source!DW608</f>
        <v>100 м2</v>
      </c>
      <c r="E674" s="9">
        <f>Source!I608</f>
        <v>11.100899999999999</v>
      </c>
      <c r="F674" s="24"/>
      <c r="G674" s="23"/>
      <c r="H674" s="9"/>
      <c r="I674" s="9"/>
      <c r="J674" s="25"/>
      <c r="K674" s="25"/>
      <c r="Q674">
        <f>ROUND((Source!BZ608/100)*ROUND((Source!AF608*Source!AV608)*Source!I608, 2), 2)</f>
        <v>3359.71</v>
      </c>
      <c r="R674">
        <f>Source!X608</f>
        <v>3359.71</v>
      </c>
      <c r="S674">
        <f>ROUND((Source!CA608/100)*ROUND((Source!AF608*Source!AV608)*Source!I608, 2), 2)</f>
        <v>479.96</v>
      </c>
      <c r="T674">
        <f>Source!Y608</f>
        <v>479.96</v>
      </c>
      <c r="U674">
        <f>ROUND((175/100)*ROUND((Source!AE608*Source!AV608)*Source!I608, 2), 2)</f>
        <v>1164.82</v>
      </c>
      <c r="V674">
        <f>ROUND((108/100)*ROUND(Source!CS608*Source!I608, 2), 2)</f>
        <v>718.86</v>
      </c>
    </row>
    <row r="675" spans="1:22" x14ac:dyDescent="0.2">
      <c r="C675" s="26" t="str">
        <f>"Объем: "&amp;Source!I608&amp;"=1110,09/"&amp;"100"</f>
        <v>Объем: 11,1009=1110,09/100</v>
      </c>
    </row>
    <row r="676" spans="1:22" ht="14.25" x14ac:dyDescent="0.2">
      <c r="A676" s="20"/>
      <c r="B676" s="21"/>
      <c r="C676" s="21" t="s">
        <v>685</v>
      </c>
      <c r="D676" s="22"/>
      <c r="E676" s="9"/>
      <c r="F676" s="24">
        <f>Source!AO608</f>
        <v>432.36</v>
      </c>
      <c r="G676" s="23" t="str">
        <f>Source!DG608</f>
        <v/>
      </c>
      <c r="H676" s="9">
        <f>Source!AV608</f>
        <v>1</v>
      </c>
      <c r="I676" s="9">
        <f>IF(Source!BA608&lt;&gt; 0, Source!BA608, 1)</f>
        <v>1</v>
      </c>
      <c r="J676" s="25">
        <f>Source!S608</f>
        <v>4799.59</v>
      </c>
      <c r="K676" s="25"/>
    </row>
    <row r="677" spans="1:22" ht="14.25" x14ac:dyDescent="0.2">
      <c r="A677" s="20"/>
      <c r="B677" s="21"/>
      <c r="C677" s="21" t="s">
        <v>686</v>
      </c>
      <c r="D677" s="22"/>
      <c r="E677" s="9"/>
      <c r="F677" s="24">
        <f>Source!AM608</f>
        <v>105.24</v>
      </c>
      <c r="G677" s="23" t="str">
        <f>Source!DE608</f>
        <v/>
      </c>
      <c r="H677" s="9">
        <f>Source!AV608</f>
        <v>1</v>
      </c>
      <c r="I677" s="9">
        <f>IF(Source!BB608&lt;&gt; 0, Source!BB608, 1)</f>
        <v>1</v>
      </c>
      <c r="J677" s="25">
        <f>Source!Q608</f>
        <v>1168.26</v>
      </c>
      <c r="K677" s="25"/>
    </row>
    <row r="678" spans="1:22" ht="14.25" x14ac:dyDescent="0.2">
      <c r="A678" s="20"/>
      <c r="B678" s="21"/>
      <c r="C678" s="21" t="s">
        <v>687</v>
      </c>
      <c r="D678" s="22"/>
      <c r="E678" s="9"/>
      <c r="F678" s="24">
        <f>Source!AN608</f>
        <v>59.96</v>
      </c>
      <c r="G678" s="23" t="str">
        <f>Source!DF608</f>
        <v/>
      </c>
      <c r="H678" s="9">
        <f>Source!AV608</f>
        <v>1</v>
      </c>
      <c r="I678" s="9">
        <f>IF(Source!BS608&lt;&gt; 0, Source!BS608, 1)</f>
        <v>1</v>
      </c>
      <c r="J678" s="27">
        <f>Source!R608</f>
        <v>665.61</v>
      </c>
      <c r="K678" s="25"/>
    </row>
    <row r="679" spans="1:22" ht="14.25" x14ac:dyDescent="0.2">
      <c r="A679" s="20"/>
      <c r="B679" s="21"/>
      <c r="C679" s="21" t="s">
        <v>694</v>
      </c>
      <c r="D679" s="22"/>
      <c r="E679" s="9"/>
      <c r="F679" s="24">
        <f>Source!AL608</f>
        <v>2972.84</v>
      </c>
      <c r="G679" s="23" t="str">
        <f>Source!DD608</f>
        <v/>
      </c>
      <c r="H679" s="9">
        <f>Source!AW608</f>
        <v>1</v>
      </c>
      <c r="I679" s="9">
        <f>IF(Source!BC608&lt;&gt; 0, Source!BC608, 1)</f>
        <v>1</v>
      </c>
      <c r="J679" s="25">
        <f>Source!P608</f>
        <v>33001.199999999997</v>
      </c>
      <c r="K679" s="25"/>
    </row>
    <row r="680" spans="1:22" ht="14.25" x14ac:dyDescent="0.2">
      <c r="A680" s="20"/>
      <c r="B680" s="21"/>
      <c r="C680" s="21" t="s">
        <v>688</v>
      </c>
      <c r="D680" s="22" t="s">
        <v>689</v>
      </c>
      <c r="E680" s="9">
        <f>Source!AT608</f>
        <v>70</v>
      </c>
      <c r="F680" s="24"/>
      <c r="G680" s="23"/>
      <c r="H680" s="9"/>
      <c r="I680" s="9"/>
      <c r="J680" s="25">
        <f>SUM(R674:R679)</f>
        <v>3359.71</v>
      </c>
      <c r="K680" s="25"/>
    </row>
    <row r="681" spans="1:22" ht="14.25" x14ac:dyDescent="0.2">
      <c r="A681" s="20"/>
      <c r="B681" s="21"/>
      <c r="C681" s="21" t="s">
        <v>690</v>
      </c>
      <c r="D681" s="22" t="s">
        <v>689</v>
      </c>
      <c r="E681" s="9">
        <f>Source!AU608</f>
        <v>10</v>
      </c>
      <c r="F681" s="24"/>
      <c r="G681" s="23"/>
      <c r="H681" s="9"/>
      <c r="I681" s="9"/>
      <c r="J681" s="25">
        <f>SUM(T674:T680)</f>
        <v>479.96</v>
      </c>
      <c r="K681" s="25"/>
    </row>
    <row r="682" spans="1:22" ht="14.25" x14ac:dyDescent="0.2">
      <c r="A682" s="20"/>
      <c r="B682" s="21"/>
      <c r="C682" s="21" t="s">
        <v>691</v>
      </c>
      <c r="D682" s="22" t="s">
        <v>689</v>
      </c>
      <c r="E682" s="9">
        <f>108</f>
        <v>108</v>
      </c>
      <c r="F682" s="24"/>
      <c r="G682" s="23"/>
      <c r="H682" s="9"/>
      <c r="I682" s="9"/>
      <c r="J682" s="25">
        <f>SUM(V674:V681)</f>
        <v>718.86</v>
      </c>
      <c r="K682" s="25"/>
    </row>
    <row r="683" spans="1:22" ht="14.25" x14ac:dyDescent="0.2">
      <c r="A683" s="20"/>
      <c r="B683" s="21"/>
      <c r="C683" s="21" t="s">
        <v>692</v>
      </c>
      <c r="D683" s="22" t="s">
        <v>693</v>
      </c>
      <c r="E683" s="9">
        <f>Source!AQ608</f>
        <v>2.31</v>
      </c>
      <c r="F683" s="24"/>
      <c r="G683" s="23" t="str">
        <f>Source!DI608</f>
        <v/>
      </c>
      <c r="H683" s="9">
        <f>Source!AV608</f>
        <v>1</v>
      </c>
      <c r="I683" s="9"/>
      <c r="J683" s="25"/>
      <c r="K683" s="25">
        <f>Source!U608</f>
        <v>25.643079</v>
      </c>
    </row>
    <row r="684" spans="1:22" ht="15" x14ac:dyDescent="0.25">
      <c r="A684" s="30"/>
      <c r="B684" s="30"/>
      <c r="C684" s="30"/>
      <c r="D684" s="30"/>
      <c r="E684" s="30"/>
      <c r="F684" s="30"/>
      <c r="G684" s="30"/>
      <c r="H684" s="30"/>
      <c r="I684" s="65">
        <f>J676+J677+J679+J680+J681+J682</f>
        <v>43527.579999999994</v>
      </c>
      <c r="J684" s="65"/>
      <c r="K684" s="31">
        <f>IF(Source!I608&lt;&gt;0, ROUND(I684/Source!I608, 2), 0)</f>
        <v>3921.09</v>
      </c>
      <c r="P684" s="28">
        <f>I684</f>
        <v>43527.579999999994</v>
      </c>
    </row>
    <row r="686" spans="1:22" ht="15" x14ac:dyDescent="0.25">
      <c r="A686" s="69" t="str">
        <f>CONCATENATE("Итого по подразделу: ",IF(Source!G610&lt;&gt;"Новый подраздел", Source!G610, ""))</f>
        <v>Итого по подразделу: Строительные работы</v>
      </c>
      <c r="B686" s="69"/>
      <c r="C686" s="69"/>
      <c r="D686" s="69"/>
      <c r="E686" s="69"/>
      <c r="F686" s="69"/>
      <c r="G686" s="69"/>
      <c r="H686" s="69"/>
      <c r="I686" s="66">
        <f>SUM(P652:P685)</f>
        <v>602582.67999999993</v>
      </c>
      <c r="J686" s="67"/>
      <c r="K686" s="33"/>
    </row>
    <row r="689" spans="1:22" ht="15" x14ac:dyDescent="0.25">
      <c r="A689" s="69" t="str">
        <f>CONCATENATE("Итого по разделу: ",IF(Source!G640&lt;&gt;"Новый раздел", Source!G640, ""))</f>
        <v>Итого по разделу: Асфальт</v>
      </c>
      <c r="B689" s="69"/>
      <c r="C689" s="69"/>
      <c r="D689" s="69"/>
      <c r="E689" s="69"/>
      <c r="F689" s="69"/>
      <c r="G689" s="69"/>
      <c r="H689" s="69"/>
      <c r="I689" s="66">
        <f>SUM(P650:P688)</f>
        <v>602582.67999999993</v>
      </c>
      <c r="J689" s="67"/>
      <c r="K689" s="33"/>
    </row>
    <row r="692" spans="1:22" ht="16.5" x14ac:dyDescent="0.25">
      <c r="A692" s="68" t="str">
        <f>CONCATENATE("Раздел: ",IF(Source!G670&lt;&gt;"Новый раздел", Source!G670, ""))</f>
        <v>Раздел: Хавская ул., д. 15 стр. 1-2</v>
      </c>
      <c r="B692" s="68"/>
      <c r="C692" s="68"/>
      <c r="D692" s="68"/>
      <c r="E692" s="68"/>
      <c r="F692" s="68"/>
      <c r="G692" s="68"/>
      <c r="H692" s="68"/>
      <c r="I692" s="68"/>
      <c r="J692" s="68"/>
      <c r="K692" s="68"/>
    </row>
    <row r="694" spans="1:22" ht="15" x14ac:dyDescent="0.25">
      <c r="A694" s="69" t="str">
        <f>CONCATENATE("Итого по разделу: ",IF(Source!G674&lt;&gt;"Новый раздел", Source!G674, ""))</f>
        <v>Итого по разделу: Хавская ул., д. 15 стр. 1-2</v>
      </c>
      <c r="B694" s="69"/>
      <c r="C694" s="69"/>
      <c r="D694" s="69"/>
      <c r="E694" s="69"/>
      <c r="F694" s="69"/>
      <c r="G694" s="69"/>
      <c r="H694" s="69"/>
      <c r="I694" s="66">
        <f>SUM(P692:P693)</f>
        <v>0</v>
      </c>
      <c r="J694" s="67"/>
      <c r="K694" s="33"/>
    </row>
    <row r="697" spans="1:22" ht="16.5" x14ac:dyDescent="0.25">
      <c r="A697" s="68" t="str">
        <f>CONCATENATE("Раздел: ",IF(Source!G704&lt;&gt;"Новый раздел", Source!G704, ""))</f>
        <v>Раздел: Контейнерная площадка</v>
      </c>
      <c r="B697" s="68"/>
      <c r="C697" s="68"/>
      <c r="D697" s="68"/>
      <c r="E697" s="68"/>
      <c r="F697" s="68"/>
      <c r="G697" s="68"/>
      <c r="H697" s="68"/>
      <c r="I697" s="68"/>
      <c r="J697" s="68"/>
      <c r="K697" s="68"/>
    </row>
    <row r="699" spans="1:22" ht="16.5" x14ac:dyDescent="0.25">
      <c r="A699" s="68" t="str">
        <f>CONCATENATE("Подраздел: ",IF(Source!G708&lt;&gt;"Новый подраздел", Source!G708, ""))</f>
        <v>Подраздел: Демонтажные работы</v>
      </c>
      <c r="B699" s="68"/>
      <c r="C699" s="68"/>
      <c r="D699" s="68"/>
      <c r="E699" s="68"/>
      <c r="F699" s="68"/>
      <c r="G699" s="68"/>
      <c r="H699" s="68"/>
      <c r="I699" s="68"/>
      <c r="J699" s="68"/>
      <c r="K699" s="68"/>
    </row>
    <row r="700" spans="1:22" ht="170.25" x14ac:dyDescent="0.2">
      <c r="A700" s="20" t="str">
        <f>Source!E712</f>
        <v>59</v>
      </c>
      <c r="B700" s="21" t="s">
        <v>683</v>
      </c>
      <c r="C700" s="21" t="s">
        <v>684</v>
      </c>
      <c r="D700" s="22" t="str">
        <f>Source!DW712</f>
        <v>100 м2</v>
      </c>
      <c r="E700" s="9">
        <f>Source!I712</f>
        <v>7.4999999999999997E-2</v>
      </c>
      <c r="F700" s="24"/>
      <c r="G700" s="23"/>
      <c r="H700" s="9"/>
      <c r="I700" s="9"/>
      <c r="J700" s="25"/>
      <c r="K700" s="25"/>
      <c r="Q700">
        <f>ROUND((Source!BZ712/100)*ROUND((Source!AF712*Source!AV712)*Source!I712, 2), 2)</f>
        <v>98.51</v>
      </c>
      <c r="R700">
        <f>Source!X712</f>
        <v>98.51</v>
      </c>
      <c r="S700">
        <f>ROUND((Source!CA712/100)*ROUND((Source!AF712*Source!AV712)*Source!I712, 2), 2)</f>
        <v>14.07</v>
      </c>
      <c r="T700">
        <f>Source!Y712</f>
        <v>14.07</v>
      </c>
      <c r="U700">
        <f>ROUND((175/100)*ROUND((Source!AE712*Source!AV712)*Source!I712, 2), 2)</f>
        <v>0.09</v>
      </c>
      <c r="V700">
        <f>ROUND((108/100)*ROUND(Source!CS712*Source!I712, 2), 2)</f>
        <v>0.05</v>
      </c>
    </row>
    <row r="701" spans="1:22" x14ac:dyDescent="0.2">
      <c r="C701" s="26" t="str">
        <f>"Объем: "&amp;Source!I712&amp;"=7,5/"&amp;"100"</f>
        <v>Объем: 0,075=7,5/100</v>
      </c>
    </row>
    <row r="702" spans="1:22" ht="14.25" x14ac:dyDescent="0.2">
      <c r="A702" s="20"/>
      <c r="B702" s="21"/>
      <c r="C702" s="21" t="s">
        <v>685</v>
      </c>
      <c r="D702" s="22"/>
      <c r="E702" s="9"/>
      <c r="F702" s="24">
        <f>Source!AO712</f>
        <v>9382.25</v>
      </c>
      <c r="G702" s="23" t="str">
        <f>Source!DG712</f>
        <v>)*0,2</v>
      </c>
      <c r="H702" s="9">
        <f>Source!AV712</f>
        <v>1</v>
      </c>
      <c r="I702" s="9">
        <f>IF(Source!BA712&lt;&gt; 0, Source!BA712, 1)</f>
        <v>1</v>
      </c>
      <c r="J702" s="25">
        <f>Source!S712</f>
        <v>140.72999999999999</v>
      </c>
      <c r="K702" s="25"/>
    </row>
    <row r="703" spans="1:22" ht="14.25" x14ac:dyDescent="0.2">
      <c r="A703" s="20"/>
      <c r="B703" s="21"/>
      <c r="C703" s="21" t="s">
        <v>686</v>
      </c>
      <c r="D703" s="22"/>
      <c r="E703" s="9"/>
      <c r="F703" s="24">
        <f>Source!AM712</f>
        <v>31.83</v>
      </c>
      <c r="G703" s="23" t="str">
        <f>Source!DE712</f>
        <v>)*0,2</v>
      </c>
      <c r="H703" s="9">
        <f>Source!AV712</f>
        <v>1</v>
      </c>
      <c r="I703" s="9">
        <f>IF(Source!BB712&lt;&gt; 0, Source!BB712, 1)</f>
        <v>1</v>
      </c>
      <c r="J703" s="25">
        <f>Source!Q712</f>
        <v>0.48</v>
      </c>
      <c r="K703" s="25"/>
    </row>
    <row r="704" spans="1:22" ht="14.25" x14ac:dyDescent="0.2">
      <c r="A704" s="20"/>
      <c r="B704" s="21"/>
      <c r="C704" s="21" t="s">
        <v>687</v>
      </c>
      <c r="D704" s="22"/>
      <c r="E704" s="9"/>
      <c r="F704" s="24">
        <f>Source!AN712</f>
        <v>3.42</v>
      </c>
      <c r="G704" s="23" t="str">
        <f>Source!DF712</f>
        <v>)*0,2</v>
      </c>
      <c r="H704" s="9">
        <f>Source!AV712</f>
        <v>1</v>
      </c>
      <c r="I704" s="9">
        <f>IF(Source!BS712&lt;&gt; 0, Source!BS712, 1)</f>
        <v>1</v>
      </c>
      <c r="J704" s="27">
        <f>Source!R712</f>
        <v>0.05</v>
      </c>
      <c r="K704" s="25"/>
    </row>
    <row r="705" spans="1:22" ht="14.25" x14ac:dyDescent="0.2">
      <c r="A705" s="20"/>
      <c r="B705" s="21"/>
      <c r="C705" s="21" t="s">
        <v>688</v>
      </c>
      <c r="D705" s="22" t="s">
        <v>689</v>
      </c>
      <c r="E705" s="9">
        <f>Source!AT712</f>
        <v>70</v>
      </c>
      <c r="F705" s="24"/>
      <c r="G705" s="23"/>
      <c r="H705" s="9"/>
      <c r="I705" s="9"/>
      <c r="J705" s="25">
        <f>SUM(R700:R704)</f>
        <v>98.51</v>
      </c>
      <c r="K705" s="25"/>
    </row>
    <row r="706" spans="1:22" ht="14.25" x14ac:dyDescent="0.2">
      <c r="A706" s="20"/>
      <c r="B706" s="21"/>
      <c r="C706" s="21" t="s">
        <v>690</v>
      </c>
      <c r="D706" s="22" t="s">
        <v>689</v>
      </c>
      <c r="E706" s="9">
        <f>Source!AU712</f>
        <v>10</v>
      </c>
      <c r="F706" s="24"/>
      <c r="G706" s="23"/>
      <c r="H706" s="9"/>
      <c r="I706" s="9"/>
      <c r="J706" s="25">
        <f>SUM(T700:T705)</f>
        <v>14.07</v>
      </c>
      <c r="K706" s="25"/>
    </row>
    <row r="707" spans="1:22" ht="14.25" x14ac:dyDescent="0.2">
      <c r="A707" s="20"/>
      <c r="B707" s="21"/>
      <c r="C707" s="21" t="s">
        <v>691</v>
      </c>
      <c r="D707" s="22" t="s">
        <v>689</v>
      </c>
      <c r="E707" s="9">
        <f>108</f>
        <v>108</v>
      </c>
      <c r="F707" s="24"/>
      <c r="G707" s="23"/>
      <c r="H707" s="9"/>
      <c r="I707" s="9"/>
      <c r="J707" s="25">
        <f>SUM(V700:V706)</f>
        <v>0.05</v>
      </c>
      <c r="K707" s="25"/>
    </row>
    <row r="708" spans="1:22" ht="14.25" x14ac:dyDescent="0.2">
      <c r="A708" s="20"/>
      <c r="B708" s="21"/>
      <c r="C708" s="21" t="s">
        <v>692</v>
      </c>
      <c r="D708" s="22" t="s">
        <v>693</v>
      </c>
      <c r="E708" s="9">
        <f>Source!AQ712</f>
        <v>36.46</v>
      </c>
      <c r="F708" s="24"/>
      <c r="G708" s="23" t="str">
        <f>Source!DI712</f>
        <v>)*0,2</v>
      </c>
      <c r="H708" s="9">
        <f>Source!AV712</f>
        <v>1</v>
      </c>
      <c r="I708" s="9"/>
      <c r="J708" s="25"/>
      <c r="K708" s="25">
        <f>Source!U712</f>
        <v>0.54690000000000005</v>
      </c>
    </row>
    <row r="709" spans="1:22" ht="15" x14ac:dyDescent="0.25">
      <c r="A709" s="30"/>
      <c r="B709" s="30"/>
      <c r="C709" s="30"/>
      <c r="D709" s="30"/>
      <c r="E709" s="30"/>
      <c r="F709" s="30"/>
      <c r="G709" s="30"/>
      <c r="H709" s="30"/>
      <c r="I709" s="65">
        <f>J702+J703+J705+J706+J707</f>
        <v>253.83999999999997</v>
      </c>
      <c r="J709" s="65"/>
      <c r="K709" s="31">
        <f>IF(Source!I712&lt;&gt;0, ROUND(I709/Source!I712, 2), 0)</f>
        <v>3384.53</v>
      </c>
      <c r="P709" s="28">
        <f>I709</f>
        <v>253.83999999999997</v>
      </c>
    </row>
    <row r="710" spans="1:22" ht="156" x14ac:dyDescent="0.2">
      <c r="A710" s="20" t="str">
        <f>Source!E713</f>
        <v>60</v>
      </c>
      <c r="B710" s="21" t="s">
        <v>717</v>
      </c>
      <c r="C710" s="21" t="s">
        <v>718</v>
      </c>
      <c r="D710" s="22" t="str">
        <f>Source!DW713</f>
        <v>т</v>
      </c>
      <c r="E710" s="9">
        <f>Source!I713</f>
        <v>0.25</v>
      </c>
      <c r="F710" s="24"/>
      <c r="G710" s="23"/>
      <c r="H710" s="9"/>
      <c r="I710" s="9"/>
      <c r="J710" s="25"/>
      <c r="K710" s="25"/>
      <c r="Q710">
        <f>ROUND((Source!BZ713/100)*ROUND((Source!AF713*Source!AV713)*Source!I713, 2), 2)</f>
        <v>994.32</v>
      </c>
      <c r="R710">
        <f>Source!X713</f>
        <v>994.32</v>
      </c>
      <c r="S710">
        <f>ROUND((Source!CA713/100)*ROUND((Source!AF713*Source!AV713)*Source!I713, 2), 2)</f>
        <v>142.05000000000001</v>
      </c>
      <c r="T710">
        <f>Source!Y713</f>
        <v>142.05000000000001</v>
      </c>
      <c r="U710">
        <f>ROUND((175/100)*ROUND((Source!AE713*Source!AV713)*Source!I713, 2), 2)</f>
        <v>2.84</v>
      </c>
      <c r="V710">
        <f>ROUND((108/100)*ROUND(Source!CS713*Source!I713, 2), 2)</f>
        <v>1.75</v>
      </c>
    </row>
    <row r="711" spans="1:22" ht="14.25" x14ac:dyDescent="0.2">
      <c r="A711" s="20"/>
      <c r="B711" s="21"/>
      <c r="C711" s="21" t="s">
        <v>685</v>
      </c>
      <c r="D711" s="22"/>
      <c r="E711" s="9"/>
      <c r="F711" s="24">
        <f>Source!AO713</f>
        <v>28409.23</v>
      </c>
      <c r="G711" s="23" t="str">
        <f>Source!DG713</f>
        <v>)*0,2</v>
      </c>
      <c r="H711" s="9">
        <f>Source!AV713</f>
        <v>1</v>
      </c>
      <c r="I711" s="9">
        <f>IF(Source!BA713&lt;&gt; 0, Source!BA713, 1)</f>
        <v>1</v>
      </c>
      <c r="J711" s="25">
        <f>Source!S713</f>
        <v>1420.46</v>
      </c>
      <c r="K711" s="25"/>
    </row>
    <row r="712" spans="1:22" ht="14.25" x14ac:dyDescent="0.2">
      <c r="A712" s="20"/>
      <c r="B712" s="21"/>
      <c r="C712" s="21" t="s">
        <v>686</v>
      </c>
      <c r="D712" s="22"/>
      <c r="E712" s="9"/>
      <c r="F712" s="24">
        <f>Source!AM713</f>
        <v>744</v>
      </c>
      <c r="G712" s="23" t="str">
        <f>Source!DE713</f>
        <v>)*0,2</v>
      </c>
      <c r="H712" s="9">
        <f>Source!AV713</f>
        <v>1</v>
      </c>
      <c r="I712" s="9">
        <f>IF(Source!BB713&lt;&gt; 0, Source!BB713, 1)</f>
        <v>1</v>
      </c>
      <c r="J712" s="25">
        <f>Source!Q713</f>
        <v>37.200000000000003</v>
      </c>
      <c r="K712" s="25"/>
    </row>
    <row r="713" spans="1:22" ht="14.25" x14ac:dyDescent="0.2">
      <c r="A713" s="20"/>
      <c r="B713" s="21"/>
      <c r="C713" s="21" t="s">
        <v>687</v>
      </c>
      <c r="D713" s="22"/>
      <c r="E713" s="9"/>
      <c r="F713" s="24">
        <f>Source!AN713</f>
        <v>32.4</v>
      </c>
      <c r="G713" s="23" t="str">
        <f>Source!DF713</f>
        <v>)*0,2</v>
      </c>
      <c r="H713" s="9">
        <f>Source!AV713</f>
        <v>1</v>
      </c>
      <c r="I713" s="9">
        <f>IF(Source!BS713&lt;&gt; 0, Source!BS713, 1)</f>
        <v>1</v>
      </c>
      <c r="J713" s="27">
        <f>Source!R713</f>
        <v>1.62</v>
      </c>
      <c r="K713" s="25"/>
    </row>
    <row r="714" spans="1:22" ht="14.25" x14ac:dyDescent="0.2">
      <c r="A714" s="20"/>
      <c r="B714" s="21"/>
      <c r="C714" s="21" t="s">
        <v>688</v>
      </c>
      <c r="D714" s="22" t="s">
        <v>689</v>
      </c>
      <c r="E714" s="9">
        <f>Source!AT713</f>
        <v>70</v>
      </c>
      <c r="F714" s="24"/>
      <c r="G714" s="23"/>
      <c r="H714" s="9"/>
      <c r="I714" s="9"/>
      <c r="J714" s="25">
        <f>SUM(R710:R713)</f>
        <v>994.32</v>
      </c>
      <c r="K714" s="25"/>
    </row>
    <row r="715" spans="1:22" ht="14.25" x14ac:dyDescent="0.2">
      <c r="A715" s="20"/>
      <c r="B715" s="21"/>
      <c r="C715" s="21" t="s">
        <v>690</v>
      </c>
      <c r="D715" s="22" t="s">
        <v>689</v>
      </c>
      <c r="E715" s="9">
        <f>Source!AU713</f>
        <v>10</v>
      </c>
      <c r="F715" s="24"/>
      <c r="G715" s="23"/>
      <c r="H715" s="9"/>
      <c r="I715" s="9"/>
      <c r="J715" s="25">
        <f>SUM(T710:T714)</f>
        <v>142.05000000000001</v>
      </c>
      <c r="K715" s="25"/>
    </row>
    <row r="716" spans="1:22" ht="14.25" x14ac:dyDescent="0.2">
      <c r="A716" s="20"/>
      <c r="B716" s="21"/>
      <c r="C716" s="21" t="s">
        <v>691</v>
      </c>
      <c r="D716" s="22" t="s">
        <v>689</v>
      </c>
      <c r="E716" s="9">
        <f>108</f>
        <v>108</v>
      </c>
      <c r="F716" s="24"/>
      <c r="G716" s="23"/>
      <c r="H716" s="9"/>
      <c r="I716" s="9"/>
      <c r="J716" s="25">
        <f>SUM(V710:V715)</f>
        <v>1.75</v>
      </c>
      <c r="K716" s="25"/>
    </row>
    <row r="717" spans="1:22" ht="14.25" x14ac:dyDescent="0.2">
      <c r="A717" s="20"/>
      <c r="B717" s="21"/>
      <c r="C717" s="21" t="s">
        <v>692</v>
      </c>
      <c r="D717" s="22" t="s">
        <v>693</v>
      </c>
      <c r="E717" s="9">
        <f>Source!AQ713</f>
        <v>110.4</v>
      </c>
      <c r="F717" s="24"/>
      <c r="G717" s="23" t="str">
        <f>Source!DI713</f>
        <v>)*0,2</v>
      </c>
      <c r="H717" s="9">
        <f>Source!AV713</f>
        <v>1</v>
      </c>
      <c r="I717" s="9"/>
      <c r="J717" s="25"/>
      <c r="K717" s="25">
        <f>Source!U713</f>
        <v>5.5200000000000005</v>
      </c>
    </row>
    <row r="718" spans="1:22" ht="15" x14ac:dyDescent="0.25">
      <c r="A718" s="30"/>
      <c r="B718" s="30"/>
      <c r="C718" s="30"/>
      <c r="D718" s="30"/>
      <c r="E718" s="30"/>
      <c r="F718" s="30"/>
      <c r="G718" s="30"/>
      <c r="H718" s="30"/>
      <c r="I718" s="65">
        <f>J711+J712+J714+J715+J716</f>
        <v>2595.7800000000002</v>
      </c>
      <c r="J718" s="65"/>
      <c r="K718" s="31">
        <f>IF(Source!I713&lt;&gt;0, ROUND(I718/Source!I713, 2), 0)</f>
        <v>10383.120000000001</v>
      </c>
      <c r="P718" s="28">
        <f>I718</f>
        <v>2595.7800000000002</v>
      </c>
    </row>
    <row r="719" spans="1:22" ht="28.5" x14ac:dyDescent="0.2">
      <c r="A719" s="20" t="str">
        <f>Source!E714</f>
        <v>61</v>
      </c>
      <c r="B719" s="21" t="str">
        <f>Source!F714</f>
        <v>1.11-3304-3-1/1</v>
      </c>
      <c r="C719" s="21" t="str">
        <f>Source!G714</f>
        <v>Демонтаж дверных металлических блоков</v>
      </c>
      <c r="D719" s="22" t="str">
        <f>Source!DW714</f>
        <v>т</v>
      </c>
      <c r="E719" s="9">
        <f>Source!I714</f>
        <v>0.05</v>
      </c>
      <c r="F719" s="24"/>
      <c r="G719" s="23"/>
      <c r="H719" s="9"/>
      <c r="I719" s="9"/>
      <c r="J719" s="25"/>
      <c r="K719" s="25"/>
      <c r="Q719">
        <f>ROUND((Source!BZ714/100)*ROUND((Source!AF714*Source!AV714)*Source!I714, 2), 2)</f>
        <v>281.79000000000002</v>
      </c>
      <c r="R719">
        <f>Source!X714</f>
        <v>281.79000000000002</v>
      </c>
      <c r="S719">
        <f>ROUND((Source!CA714/100)*ROUND((Source!AF714*Source!AV714)*Source!I714, 2), 2)</f>
        <v>40.26</v>
      </c>
      <c r="T719">
        <f>Source!Y714</f>
        <v>40.26</v>
      </c>
      <c r="U719">
        <f>ROUND((175/100)*ROUND((Source!AE714*Source!AV714)*Source!I714, 2), 2)</f>
        <v>0.14000000000000001</v>
      </c>
      <c r="V719">
        <f>ROUND((108/100)*ROUND(Source!CS714*Source!I714, 2), 2)</f>
        <v>0.09</v>
      </c>
    </row>
    <row r="720" spans="1:22" ht="14.25" x14ac:dyDescent="0.2">
      <c r="A720" s="20"/>
      <c r="B720" s="21"/>
      <c r="C720" s="21" t="s">
        <v>685</v>
      </c>
      <c r="D720" s="22"/>
      <c r="E720" s="9"/>
      <c r="F720" s="24">
        <f>Source!AO714</f>
        <v>8051.17</v>
      </c>
      <c r="G720" s="23" t="str">
        <f>Source!DG714</f>
        <v/>
      </c>
      <c r="H720" s="9">
        <f>Source!AV714</f>
        <v>1</v>
      </c>
      <c r="I720" s="9">
        <f>IF(Source!BA714&lt;&gt; 0, Source!BA714, 1)</f>
        <v>1</v>
      </c>
      <c r="J720" s="25">
        <f>Source!S714</f>
        <v>402.56</v>
      </c>
      <c r="K720" s="25"/>
    </row>
    <row r="721" spans="1:22" ht="14.25" x14ac:dyDescent="0.2">
      <c r="A721" s="20"/>
      <c r="B721" s="21"/>
      <c r="C721" s="21" t="s">
        <v>686</v>
      </c>
      <c r="D721" s="22"/>
      <c r="E721" s="9"/>
      <c r="F721" s="24">
        <f>Source!AM714</f>
        <v>94.69</v>
      </c>
      <c r="G721" s="23" t="str">
        <f>Source!DE714</f>
        <v/>
      </c>
      <c r="H721" s="9">
        <f>Source!AV714</f>
        <v>1</v>
      </c>
      <c r="I721" s="9">
        <f>IF(Source!BB714&lt;&gt; 0, Source!BB714, 1)</f>
        <v>1</v>
      </c>
      <c r="J721" s="25">
        <f>Source!Q714</f>
        <v>4.7300000000000004</v>
      </c>
      <c r="K721" s="25"/>
    </row>
    <row r="722" spans="1:22" ht="14.25" x14ac:dyDescent="0.2">
      <c r="A722" s="20"/>
      <c r="B722" s="21"/>
      <c r="C722" s="21" t="s">
        <v>687</v>
      </c>
      <c r="D722" s="22"/>
      <c r="E722" s="9"/>
      <c r="F722" s="24">
        <f>Source!AN714</f>
        <v>1.69</v>
      </c>
      <c r="G722" s="23" t="str">
        <f>Source!DF714</f>
        <v/>
      </c>
      <c r="H722" s="9">
        <f>Source!AV714</f>
        <v>1</v>
      </c>
      <c r="I722" s="9">
        <f>IF(Source!BS714&lt;&gt; 0, Source!BS714, 1)</f>
        <v>1</v>
      </c>
      <c r="J722" s="27">
        <f>Source!R714</f>
        <v>0.08</v>
      </c>
      <c r="K722" s="25"/>
    </row>
    <row r="723" spans="1:22" ht="14.25" x14ac:dyDescent="0.2">
      <c r="A723" s="20"/>
      <c r="B723" s="21"/>
      <c r="C723" s="21" t="s">
        <v>688</v>
      </c>
      <c r="D723" s="22" t="s">
        <v>689</v>
      </c>
      <c r="E723" s="9">
        <f>Source!AT714</f>
        <v>70</v>
      </c>
      <c r="F723" s="24"/>
      <c r="G723" s="23"/>
      <c r="H723" s="9"/>
      <c r="I723" s="9"/>
      <c r="J723" s="25">
        <f>SUM(R719:R722)</f>
        <v>281.79000000000002</v>
      </c>
      <c r="K723" s="25"/>
    </row>
    <row r="724" spans="1:22" ht="14.25" x14ac:dyDescent="0.2">
      <c r="A724" s="20"/>
      <c r="B724" s="21"/>
      <c r="C724" s="21" t="s">
        <v>690</v>
      </c>
      <c r="D724" s="22" t="s">
        <v>689</v>
      </c>
      <c r="E724" s="9">
        <f>Source!AU714</f>
        <v>10</v>
      </c>
      <c r="F724" s="24"/>
      <c r="G724" s="23"/>
      <c r="H724" s="9"/>
      <c r="I724" s="9"/>
      <c r="J724" s="25">
        <f>SUM(T719:T723)</f>
        <v>40.26</v>
      </c>
      <c r="K724" s="25"/>
    </row>
    <row r="725" spans="1:22" ht="14.25" x14ac:dyDescent="0.2">
      <c r="A725" s="20"/>
      <c r="B725" s="21"/>
      <c r="C725" s="21" t="s">
        <v>691</v>
      </c>
      <c r="D725" s="22" t="s">
        <v>689</v>
      </c>
      <c r="E725" s="9">
        <f>108</f>
        <v>108</v>
      </c>
      <c r="F725" s="24"/>
      <c r="G725" s="23"/>
      <c r="H725" s="9"/>
      <c r="I725" s="9"/>
      <c r="J725" s="25">
        <f>SUM(V719:V724)</f>
        <v>0.09</v>
      </c>
      <c r="K725" s="25"/>
    </row>
    <row r="726" spans="1:22" ht="14.25" x14ac:dyDescent="0.2">
      <c r="A726" s="20"/>
      <c r="B726" s="21"/>
      <c r="C726" s="21" t="s">
        <v>692</v>
      </c>
      <c r="D726" s="22" t="s">
        <v>693</v>
      </c>
      <c r="E726" s="9">
        <f>Source!AQ714</f>
        <v>38.979999999999997</v>
      </c>
      <c r="F726" s="24"/>
      <c r="G726" s="23" t="str">
        <f>Source!DI714</f>
        <v/>
      </c>
      <c r="H726" s="9">
        <f>Source!AV714</f>
        <v>1</v>
      </c>
      <c r="I726" s="9"/>
      <c r="J726" s="25"/>
      <c r="K726" s="25">
        <f>Source!U714</f>
        <v>1.9489999999999998</v>
      </c>
    </row>
    <row r="727" spans="1:22" ht="15" x14ac:dyDescent="0.25">
      <c r="A727" s="30"/>
      <c r="B727" s="30"/>
      <c r="C727" s="30"/>
      <c r="D727" s="30"/>
      <c r="E727" s="30"/>
      <c r="F727" s="30"/>
      <c r="G727" s="30"/>
      <c r="H727" s="30"/>
      <c r="I727" s="65">
        <f>J720+J721+J723+J724+J725</f>
        <v>729.43000000000006</v>
      </c>
      <c r="J727" s="65"/>
      <c r="K727" s="31">
        <f>IF(Source!I714&lt;&gt;0, ROUND(I727/Source!I714, 2), 0)</f>
        <v>14588.6</v>
      </c>
      <c r="P727" s="28">
        <f>I727</f>
        <v>729.43000000000006</v>
      </c>
    </row>
    <row r="729" spans="1:22" ht="15" x14ac:dyDescent="0.25">
      <c r="A729" s="69" t="str">
        <f>CONCATENATE("Итого по подразделу: ",IF(Source!G716&lt;&gt;"Новый подраздел", Source!G716, ""))</f>
        <v>Итого по подразделу: Демонтажные работы</v>
      </c>
      <c r="B729" s="69"/>
      <c r="C729" s="69"/>
      <c r="D729" s="69"/>
      <c r="E729" s="69"/>
      <c r="F729" s="69"/>
      <c r="G729" s="69"/>
      <c r="H729" s="69"/>
      <c r="I729" s="66">
        <f>SUM(P699:P728)</f>
        <v>3579.05</v>
      </c>
      <c r="J729" s="67"/>
      <c r="K729" s="33"/>
    </row>
    <row r="732" spans="1:22" ht="16.5" x14ac:dyDescent="0.25">
      <c r="A732" s="68" t="str">
        <f>CONCATENATE("Подраздел: ",IF(Source!G746&lt;&gt;"Новый подраздел", Source!G746, ""))</f>
        <v>Подраздел: Строительные работы</v>
      </c>
      <c r="B732" s="68"/>
      <c r="C732" s="68"/>
      <c r="D732" s="68"/>
      <c r="E732" s="68"/>
      <c r="F732" s="68"/>
      <c r="G732" s="68"/>
      <c r="H732" s="68"/>
      <c r="I732" s="68"/>
      <c r="J732" s="68"/>
      <c r="K732" s="68"/>
    </row>
    <row r="733" spans="1:22" ht="57" x14ac:dyDescent="0.2">
      <c r="A733" s="20" t="str">
        <f>Source!E750</f>
        <v>62</v>
      </c>
      <c r="B733" s="21" t="str">
        <f>Source!F750</f>
        <v>1.10-3303-2-3/1</v>
      </c>
      <c r="C733" s="21" t="str">
        <f>Source!G750</f>
        <v>Устройство покрытий из асфальтобетонных горячих мелкозернистых смесей, марка II, тип В,  толщиной 25 мм</v>
      </c>
      <c r="D733" s="22" t="str">
        <f>Source!DW750</f>
        <v>100 м2</v>
      </c>
      <c r="E733" s="9">
        <f>Source!I750</f>
        <v>0.08</v>
      </c>
      <c r="F733" s="24"/>
      <c r="G733" s="23"/>
      <c r="H733" s="9"/>
      <c r="I733" s="9"/>
      <c r="J733" s="25"/>
      <c r="K733" s="25"/>
      <c r="Q733">
        <f>ROUND((Source!BZ750/100)*ROUND((Source!AF750*Source!AV750)*Source!I750, 2), 2)</f>
        <v>182.18</v>
      </c>
      <c r="R733">
        <f>Source!X750</f>
        <v>182.18</v>
      </c>
      <c r="S733">
        <f>ROUND((Source!CA750/100)*ROUND((Source!AF750*Source!AV750)*Source!I750, 2), 2)</f>
        <v>26.03</v>
      </c>
      <c r="T733">
        <f>Source!Y750</f>
        <v>26.03</v>
      </c>
      <c r="U733">
        <f>ROUND((175/100)*ROUND((Source!AE750*Source!AV750)*Source!I750, 2), 2)</f>
        <v>169.12</v>
      </c>
      <c r="V733">
        <f>ROUND((108/100)*ROUND(Source!CS750*Source!I750, 2), 2)</f>
        <v>104.37</v>
      </c>
    </row>
    <row r="734" spans="1:22" x14ac:dyDescent="0.2">
      <c r="C734" s="26" t="str">
        <f>"Объем: "&amp;Source!I750&amp;"=8/"&amp;"100"</f>
        <v>Объем: 0,08=8/100</v>
      </c>
    </row>
    <row r="735" spans="1:22" ht="14.25" x14ac:dyDescent="0.2">
      <c r="A735" s="20"/>
      <c r="B735" s="21"/>
      <c r="C735" s="21" t="s">
        <v>685</v>
      </c>
      <c r="D735" s="22"/>
      <c r="E735" s="9"/>
      <c r="F735" s="24">
        <f>Source!AO750</f>
        <v>3253.15</v>
      </c>
      <c r="G735" s="23" t="str">
        <f>Source!DG750</f>
        <v/>
      </c>
      <c r="H735" s="9">
        <f>Source!AV750</f>
        <v>1</v>
      </c>
      <c r="I735" s="9">
        <f>IF(Source!BA750&lt;&gt; 0, Source!BA750, 1)</f>
        <v>1</v>
      </c>
      <c r="J735" s="25">
        <f>Source!S750</f>
        <v>260.25</v>
      </c>
      <c r="K735" s="25"/>
    </row>
    <row r="736" spans="1:22" ht="14.25" x14ac:dyDescent="0.2">
      <c r="A736" s="20"/>
      <c r="B736" s="21"/>
      <c r="C736" s="21" t="s">
        <v>686</v>
      </c>
      <c r="D736" s="22"/>
      <c r="E736" s="9"/>
      <c r="F736" s="24">
        <f>Source!AM750</f>
        <v>2014.79</v>
      </c>
      <c r="G736" s="23" t="str">
        <f>Source!DE750</f>
        <v/>
      </c>
      <c r="H736" s="9">
        <f>Source!AV750</f>
        <v>1</v>
      </c>
      <c r="I736" s="9">
        <f>IF(Source!BB750&lt;&gt; 0, Source!BB750, 1)</f>
        <v>1</v>
      </c>
      <c r="J736" s="25">
        <f>Source!Q750</f>
        <v>161.18</v>
      </c>
      <c r="K736" s="25"/>
    </row>
    <row r="737" spans="1:22" ht="14.25" x14ac:dyDescent="0.2">
      <c r="A737" s="20"/>
      <c r="B737" s="21"/>
      <c r="C737" s="21" t="s">
        <v>687</v>
      </c>
      <c r="D737" s="22"/>
      <c r="E737" s="9"/>
      <c r="F737" s="24">
        <f>Source!AN750</f>
        <v>1208.03</v>
      </c>
      <c r="G737" s="23" t="str">
        <f>Source!DF750</f>
        <v/>
      </c>
      <c r="H737" s="9">
        <f>Source!AV750</f>
        <v>1</v>
      </c>
      <c r="I737" s="9">
        <f>IF(Source!BS750&lt;&gt; 0, Source!BS750, 1)</f>
        <v>1</v>
      </c>
      <c r="J737" s="27">
        <f>Source!R750</f>
        <v>96.64</v>
      </c>
      <c r="K737" s="25"/>
    </row>
    <row r="738" spans="1:22" ht="14.25" x14ac:dyDescent="0.2">
      <c r="A738" s="20"/>
      <c r="B738" s="21"/>
      <c r="C738" s="21" t="s">
        <v>694</v>
      </c>
      <c r="D738" s="22"/>
      <c r="E738" s="9"/>
      <c r="F738" s="24">
        <f>Source!AL750</f>
        <v>17411.05</v>
      </c>
      <c r="G738" s="23" t="str">
        <f>Source!DD750</f>
        <v/>
      </c>
      <c r="H738" s="9">
        <f>Source!AW750</f>
        <v>1</v>
      </c>
      <c r="I738" s="9">
        <f>IF(Source!BC750&lt;&gt; 0, Source!BC750, 1)</f>
        <v>1</v>
      </c>
      <c r="J738" s="25">
        <f>Source!P750</f>
        <v>1392.88</v>
      </c>
      <c r="K738" s="25"/>
    </row>
    <row r="739" spans="1:22" ht="14.25" x14ac:dyDescent="0.2">
      <c r="A739" s="20"/>
      <c r="B739" s="21"/>
      <c r="C739" s="21" t="s">
        <v>688</v>
      </c>
      <c r="D739" s="22" t="s">
        <v>689</v>
      </c>
      <c r="E739" s="9">
        <f>Source!AT750</f>
        <v>70</v>
      </c>
      <c r="F739" s="24"/>
      <c r="G739" s="23"/>
      <c r="H739" s="9"/>
      <c r="I739" s="9"/>
      <c r="J739" s="25">
        <f>SUM(R733:R738)</f>
        <v>182.18</v>
      </c>
      <c r="K739" s="25"/>
    </row>
    <row r="740" spans="1:22" ht="14.25" x14ac:dyDescent="0.2">
      <c r="A740" s="20"/>
      <c r="B740" s="21"/>
      <c r="C740" s="21" t="s">
        <v>690</v>
      </c>
      <c r="D740" s="22" t="s">
        <v>689</v>
      </c>
      <c r="E740" s="9">
        <f>Source!AU750</f>
        <v>10</v>
      </c>
      <c r="F740" s="24"/>
      <c r="G740" s="23"/>
      <c r="H740" s="9"/>
      <c r="I740" s="9"/>
      <c r="J740" s="25">
        <f>SUM(T733:T739)</f>
        <v>26.03</v>
      </c>
      <c r="K740" s="25"/>
    </row>
    <row r="741" spans="1:22" ht="14.25" x14ac:dyDescent="0.2">
      <c r="A741" s="20"/>
      <c r="B741" s="21"/>
      <c r="C741" s="21" t="s">
        <v>691</v>
      </c>
      <c r="D741" s="22" t="s">
        <v>689</v>
      </c>
      <c r="E741" s="9">
        <f>108</f>
        <v>108</v>
      </c>
      <c r="F741" s="24"/>
      <c r="G741" s="23"/>
      <c r="H741" s="9"/>
      <c r="I741" s="9"/>
      <c r="J741" s="25">
        <f>SUM(V733:V740)</f>
        <v>104.37</v>
      </c>
      <c r="K741" s="25"/>
    </row>
    <row r="742" spans="1:22" ht="14.25" x14ac:dyDescent="0.2">
      <c r="A742" s="20"/>
      <c r="B742" s="21"/>
      <c r="C742" s="21" t="s">
        <v>692</v>
      </c>
      <c r="D742" s="22" t="s">
        <v>693</v>
      </c>
      <c r="E742" s="9">
        <f>Source!AQ750</f>
        <v>16.440000000000001</v>
      </c>
      <c r="F742" s="24"/>
      <c r="G742" s="23" t="str">
        <f>Source!DI750</f>
        <v/>
      </c>
      <c r="H742" s="9">
        <f>Source!AV750</f>
        <v>1</v>
      </c>
      <c r="I742" s="9"/>
      <c r="J742" s="25"/>
      <c r="K742" s="25">
        <f>Source!U750</f>
        <v>1.3152000000000001</v>
      </c>
    </row>
    <row r="743" spans="1:22" ht="15" x14ac:dyDescent="0.25">
      <c r="A743" s="30"/>
      <c r="B743" s="30"/>
      <c r="C743" s="30"/>
      <c r="D743" s="30"/>
      <c r="E743" s="30"/>
      <c r="F743" s="30"/>
      <c r="G743" s="30"/>
      <c r="H743" s="30"/>
      <c r="I743" s="65">
        <f>J735+J736+J738+J739+J740+J741</f>
        <v>2126.8900000000003</v>
      </c>
      <c r="J743" s="65"/>
      <c r="K743" s="31">
        <f>IF(Source!I750&lt;&gt;0, ROUND(I743/Source!I750, 2), 0)</f>
        <v>26586.13</v>
      </c>
      <c r="P743" s="28">
        <f>I743</f>
        <v>2126.8900000000003</v>
      </c>
    </row>
    <row r="744" spans="1:22" ht="28.5" x14ac:dyDescent="0.2">
      <c r="A744" s="20" t="str">
        <f>Source!E751</f>
        <v>63</v>
      </c>
      <c r="B744" s="21" t="str">
        <f>Source!F751</f>
        <v>1.10-3303-2-4/1</v>
      </c>
      <c r="C744" s="21" t="str">
        <f>Source!G751</f>
        <v>Добавлять или исключать на 5 мм изменения толщины к поз.10-3303-2-3</v>
      </c>
      <c r="D744" s="22" t="str">
        <f>Source!DW751</f>
        <v>100 м2</v>
      </c>
      <c r="E744" s="9">
        <f>Source!I751</f>
        <v>0.08</v>
      </c>
      <c r="F744" s="24"/>
      <c r="G744" s="23"/>
      <c r="H744" s="9"/>
      <c r="I744" s="9"/>
      <c r="J744" s="25"/>
      <c r="K744" s="25"/>
      <c r="Q744">
        <f>ROUND((Source!BZ751/100)*ROUND((Source!AF751*Source!AV751)*Source!I751, 2), 2)</f>
        <v>24.21</v>
      </c>
      <c r="R744">
        <f>Source!X751</f>
        <v>24.21</v>
      </c>
      <c r="S744">
        <f>ROUND((Source!CA751/100)*ROUND((Source!AF751*Source!AV751)*Source!I751, 2), 2)</f>
        <v>3.46</v>
      </c>
      <c r="T744">
        <f>Source!Y751</f>
        <v>3.46</v>
      </c>
      <c r="U744">
        <f>ROUND((175/100)*ROUND((Source!AE751*Source!AV751)*Source!I751, 2), 2)</f>
        <v>8.4</v>
      </c>
      <c r="V744">
        <f>ROUND((108/100)*ROUND(Source!CS751*Source!I751, 2), 2)</f>
        <v>5.18</v>
      </c>
    </row>
    <row r="745" spans="1:22" x14ac:dyDescent="0.2">
      <c r="C745" s="26" t="str">
        <f>"Объем: "&amp;Source!I751&amp;"=8/"&amp;"100"</f>
        <v>Объем: 0,08=8/100</v>
      </c>
    </row>
    <row r="746" spans="1:22" ht="14.25" x14ac:dyDescent="0.2">
      <c r="A746" s="20"/>
      <c r="B746" s="21"/>
      <c r="C746" s="21" t="s">
        <v>685</v>
      </c>
      <c r="D746" s="22"/>
      <c r="E746" s="9"/>
      <c r="F746" s="24">
        <f>Source!AO751</f>
        <v>432.36</v>
      </c>
      <c r="G746" s="23" t="str">
        <f>Source!DG751</f>
        <v/>
      </c>
      <c r="H746" s="9">
        <f>Source!AV751</f>
        <v>1</v>
      </c>
      <c r="I746" s="9">
        <f>IF(Source!BA751&lt;&gt; 0, Source!BA751, 1)</f>
        <v>1</v>
      </c>
      <c r="J746" s="25">
        <f>Source!S751</f>
        <v>34.590000000000003</v>
      </c>
      <c r="K746" s="25"/>
    </row>
    <row r="747" spans="1:22" ht="14.25" x14ac:dyDescent="0.2">
      <c r="A747" s="20"/>
      <c r="B747" s="21"/>
      <c r="C747" s="21" t="s">
        <v>686</v>
      </c>
      <c r="D747" s="22"/>
      <c r="E747" s="9"/>
      <c r="F747" s="24">
        <f>Source!AM751</f>
        <v>105.24</v>
      </c>
      <c r="G747" s="23" t="str">
        <f>Source!DE751</f>
        <v/>
      </c>
      <c r="H747" s="9">
        <f>Source!AV751</f>
        <v>1</v>
      </c>
      <c r="I747" s="9">
        <f>IF(Source!BB751&lt;&gt; 0, Source!BB751, 1)</f>
        <v>1</v>
      </c>
      <c r="J747" s="25">
        <f>Source!Q751</f>
        <v>8.42</v>
      </c>
      <c r="K747" s="25"/>
    </row>
    <row r="748" spans="1:22" ht="14.25" x14ac:dyDescent="0.2">
      <c r="A748" s="20"/>
      <c r="B748" s="21"/>
      <c r="C748" s="21" t="s">
        <v>687</v>
      </c>
      <c r="D748" s="22"/>
      <c r="E748" s="9"/>
      <c r="F748" s="24">
        <f>Source!AN751</f>
        <v>59.96</v>
      </c>
      <c r="G748" s="23" t="str">
        <f>Source!DF751</f>
        <v/>
      </c>
      <c r="H748" s="9">
        <f>Source!AV751</f>
        <v>1</v>
      </c>
      <c r="I748" s="9">
        <f>IF(Source!BS751&lt;&gt; 0, Source!BS751, 1)</f>
        <v>1</v>
      </c>
      <c r="J748" s="27">
        <f>Source!R751</f>
        <v>4.8</v>
      </c>
      <c r="K748" s="25"/>
    </row>
    <row r="749" spans="1:22" ht="14.25" x14ac:dyDescent="0.2">
      <c r="A749" s="20"/>
      <c r="B749" s="21"/>
      <c r="C749" s="21" t="s">
        <v>694</v>
      </c>
      <c r="D749" s="22"/>
      <c r="E749" s="9"/>
      <c r="F749" s="24">
        <f>Source!AL751</f>
        <v>2972.84</v>
      </c>
      <c r="G749" s="23" t="str">
        <f>Source!DD751</f>
        <v/>
      </c>
      <c r="H749" s="9">
        <f>Source!AW751</f>
        <v>1</v>
      </c>
      <c r="I749" s="9">
        <f>IF(Source!BC751&lt;&gt; 0, Source!BC751, 1)</f>
        <v>1</v>
      </c>
      <c r="J749" s="25">
        <f>Source!P751</f>
        <v>237.83</v>
      </c>
      <c r="K749" s="25"/>
    </row>
    <row r="750" spans="1:22" ht="14.25" x14ac:dyDescent="0.2">
      <c r="A750" s="20"/>
      <c r="B750" s="21"/>
      <c r="C750" s="21" t="s">
        <v>688</v>
      </c>
      <c r="D750" s="22" t="s">
        <v>689</v>
      </c>
      <c r="E750" s="9">
        <f>Source!AT751</f>
        <v>70</v>
      </c>
      <c r="F750" s="24"/>
      <c r="G750" s="23"/>
      <c r="H750" s="9"/>
      <c r="I750" s="9"/>
      <c r="J750" s="25">
        <f>SUM(R744:R749)</f>
        <v>24.21</v>
      </c>
      <c r="K750" s="25"/>
    </row>
    <row r="751" spans="1:22" ht="14.25" x14ac:dyDescent="0.2">
      <c r="A751" s="20"/>
      <c r="B751" s="21"/>
      <c r="C751" s="21" t="s">
        <v>690</v>
      </c>
      <c r="D751" s="22" t="s">
        <v>689</v>
      </c>
      <c r="E751" s="9">
        <f>Source!AU751</f>
        <v>10</v>
      </c>
      <c r="F751" s="24"/>
      <c r="G751" s="23"/>
      <c r="H751" s="9"/>
      <c r="I751" s="9"/>
      <c r="J751" s="25">
        <f>SUM(T744:T750)</f>
        <v>3.46</v>
      </c>
      <c r="K751" s="25"/>
    </row>
    <row r="752" spans="1:22" ht="14.25" x14ac:dyDescent="0.2">
      <c r="A752" s="20"/>
      <c r="B752" s="21"/>
      <c r="C752" s="21" t="s">
        <v>691</v>
      </c>
      <c r="D752" s="22" t="s">
        <v>689</v>
      </c>
      <c r="E752" s="9">
        <f>108</f>
        <v>108</v>
      </c>
      <c r="F752" s="24"/>
      <c r="G752" s="23"/>
      <c r="H752" s="9"/>
      <c r="I752" s="9"/>
      <c r="J752" s="25">
        <f>SUM(V744:V751)</f>
        <v>5.18</v>
      </c>
      <c r="K752" s="25"/>
    </row>
    <row r="753" spans="1:22" ht="14.25" x14ac:dyDescent="0.2">
      <c r="A753" s="20"/>
      <c r="B753" s="21"/>
      <c r="C753" s="21" t="s">
        <v>692</v>
      </c>
      <c r="D753" s="22" t="s">
        <v>693</v>
      </c>
      <c r="E753" s="9">
        <f>Source!AQ751</f>
        <v>2.31</v>
      </c>
      <c r="F753" s="24"/>
      <c r="G753" s="23" t="str">
        <f>Source!DI751</f>
        <v/>
      </c>
      <c r="H753" s="9">
        <f>Source!AV751</f>
        <v>1</v>
      </c>
      <c r="I753" s="9"/>
      <c r="J753" s="25"/>
      <c r="K753" s="25">
        <f>Source!U751</f>
        <v>0.18480000000000002</v>
      </c>
    </row>
    <row r="754" spans="1:22" ht="15" x14ac:dyDescent="0.25">
      <c r="A754" s="30"/>
      <c r="B754" s="30"/>
      <c r="C754" s="30"/>
      <c r="D754" s="30"/>
      <c r="E754" s="30"/>
      <c r="F754" s="30"/>
      <c r="G754" s="30"/>
      <c r="H754" s="30"/>
      <c r="I754" s="65">
        <f>J746+J747+J749+J750+J751+J752</f>
        <v>313.69</v>
      </c>
      <c r="J754" s="65"/>
      <c r="K754" s="31">
        <f>IF(Source!I751&lt;&gt;0, ROUND(I754/Source!I751, 2), 0)</f>
        <v>3921.13</v>
      </c>
      <c r="P754" s="28">
        <f>I754</f>
        <v>313.69</v>
      </c>
    </row>
    <row r="755" spans="1:22" ht="28.5" x14ac:dyDescent="0.2">
      <c r="A755" s="20" t="str">
        <f>Source!E752</f>
        <v>64</v>
      </c>
      <c r="B755" s="21" t="str">
        <f>Source!F752</f>
        <v>1.50-3203-37-3/1</v>
      </c>
      <c r="C755" s="21" t="str">
        <f>Source!G752</f>
        <v>Монтаж мелких конструкций из стали различного профиля массой до 100 кг</v>
      </c>
      <c r="D755" s="22" t="str">
        <f>Source!DW752</f>
        <v>т</v>
      </c>
      <c r="E755" s="9">
        <f>Source!I752</f>
        <v>0.5</v>
      </c>
      <c r="F755" s="24"/>
      <c r="G755" s="23"/>
      <c r="H755" s="9"/>
      <c r="I755" s="9"/>
      <c r="J755" s="25"/>
      <c r="K755" s="25"/>
      <c r="Q755">
        <f>ROUND((Source!BZ752/100)*ROUND((Source!AF752*Source!AV752)*Source!I752, 2), 2)</f>
        <v>7871.72</v>
      </c>
      <c r="R755">
        <f>Source!X752</f>
        <v>7871.72</v>
      </c>
      <c r="S755">
        <f>ROUND((Source!CA752/100)*ROUND((Source!AF752*Source!AV752)*Source!I752, 2), 2)</f>
        <v>1124.53</v>
      </c>
      <c r="T755">
        <f>Source!Y752</f>
        <v>1124.53</v>
      </c>
      <c r="U755">
        <f>ROUND((175/100)*ROUND((Source!AE752*Source!AV752)*Source!I752, 2), 2)</f>
        <v>22.45</v>
      </c>
      <c r="V755">
        <f>ROUND((108/100)*ROUND(Source!CS752*Source!I752, 2), 2)</f>
        <v>13.86</v>
      </c>
    </row>
    <row r="756" spans="1:22" ht="14.25" x14ac:dyDescent="0.2">
      <c r="A756" s="20"/>
      <c r="B756" s="21"/>
      <c r="C756" s="21" t="s">
        <v>685</v>
      </c>
      <c r="D756" s="22"/>
      <c r="E756" s="9"/>
      <c r="F756" s="24">
        <f>Source!AO752</f>
        <v>22490.639999999999</v>
      </c>
      <c r="G756" s="23" t="str">
        <f>Source!DG752</f>
        <v/>
      </c>
      <c r="H756" s="9">
        <f>Source!AV752</f>
        <v>1</v>
      </c>
      <c r="I756" s="9">
        <f>IF(Source!BA752&lt;&gt; 0, Source!BA752, 1)</f>
        <v>1</v>
      </c>
      <c r="J756" s="25">
        <f>Source!S752</f>
        <v>11245.32</v>
      </c>
      <c r="K756" s="25"/>
    </row>
    <row r="757" spans="1:22" ht="14.25" x14ac:dyDescent="0.2">
      <c r="A757" s="20"/>
      <c r="B757" s="21"/>
      <c r="C757" s="21" t="s">
        <v>686</v>
      </c>
      <c r="D757" s="22"/>
      <c r="E757" s="9"/>
      <c r="F757" s="24">
        <f>Source!AM752</f>
        <v>589</v>
      </c>
      <c r="G757" s="23" t="str">
        <f>Source!DE752</f>
        <v/>
      </c>
      <c r="H757" s="9">
        <f>Source!AV752</f>
        <v>1</v>
      </c>
      <c r="I757" s="9">
        <f>IF(Source!BB752&lt;&gt; 0, Source!BB752, 1)</f>
        <v>1</v>
      </c>
      <c r="J757" s="25">
        <f>Source!Q752</f>
        <v>294.5</v>
      </c>
      <c r="K757" s="25"/>
    </row>
    <row r="758" spans="1:22" ht="14.25" x14ac:dyDescent="0.2">
      <c r="A758" s="20"/>
      <c r="B758" s="21"/>
      <c r="C758" s="21" t="s">
        <v>687</v>
      </c>
      <c r="D758" s="22"/>
      <c r="E758" s="9"/>
      <c r="F758" s="24">
        <f>Source!AN752</f>
        <v>25.65</v>
      </c>
      <c r="G758" s="23" t="str">
        <f>Source!DF752</f>
        <v/>
      </c>
      <c r="H758" s="9">
        <f>Source!AV752</f>
        <v>1</v>
      </c>
      <c r="I758" s="9">
        <f>IF(Source!BS752&lt;&gt; 0, Source!BS752, 1)</f>
        <v>1</v>
      </c>
      <c r="J758" s="27">
        <f>Source!R752</f>
        <v>12.83</v>
      </c>
      <c r="K758" s="25"/>
    </row>
    <row r="759" spans="1:22" ht="14.25" x14ac:dyDescent="0.2">
      <c r="A759" s="20"/>
      <c r="B759" s="21"/>
      <c r="C759" s="21" t="s">
        <v>694</v>
      </c>
      <c r="D759" s="22"/>
      <c r="E759" s="9"/>
      <c r="F759" s="24">
        <f>Source!AL752</f>
        <v>75528.429999999993</v>
      </c>
      <c r="G759" s="23" t="str">
        <f>Source!DD752</f>
        <v/>
      </c>
      <c r="H759" s="9">
        <f>Source!AW752</f>
        <v>1</v>
      </c>
      <c r="I759" s="9">
        <f>IF(Source!BC752&lt;&gt; 0, Source!BC752, 1)</f>
        <v>1</v>
      </c>
      <c r="J759" s="25">
        <f>Source!P752</f>
        <v>37764.22</v>
      </c>
      <c r="K759" s="25"/>
    </row>
    <row r="760" spans="1:22" ht="54" x14ac:dyDescent="0.2">
      <c r="A760" s="20" t="str">
        <f>Source!E753</f>
        <v>64,1</v>
      </c>
      <c r="B760" s="21" t="str">
        <f>Source!F753</f>
        <v>Цена поставщика</v>
      </c>
      <c r="C760" s="21" t="s">
        <v>720</v>
      </c>
      <c r="D760" s="22" t="str">
        <f>Source!DW753</f>
        <v>шт.</v>
      </c>
      <c r="E760" s="9">
        <f>Source!I753</f>
        <v>0.449208</v>
      </c>
      <c r="F760" s="24">
        <f>Source!AK753</f>
        <v>42340.83</v>
      </c>
      <c r="G760" s="34" t="s">
        <v>3</v>
      </c>
      <c r="H760" s="9">
        <f>Source!AW753</f>
        <v>1</v>
      </c>
      <c r="I760" s="9">
        <f>IF(Source!BC753&lt;&gt; 0, Source!BC753, 1)</f>
        <v>1</v>
      </c>
      <c r="J760" s="25">
        <f>Source!O753</f>
        <v>19019.84</v>
      </c>
      <c r="K760" s="25"/>
      <c r="Q760">
        <f>ROUND((Source!BZ753/100)*ROUND((Source!AF753*Source!AV753)*Source!I753, 2), 2)</f>
        <v>0</v>
      </c>
      <c r="R760">
        <f>Source!X753</f>
        <v>0</v>
      </c>
      <c r="S760">
        <f>ROUND((Source!CA753/100)*ROUND((Source!AF753*Source!AV753)*Source!I753, 2), 2)</f>
        <v>0</v>
      </c>
      <c r="T760">
        <f>Source!Y753</f>
        <v>0</v>
      </c>
      <c r="U760">
        <f>ROUND((175/100)*ROUND((Source!AE753*Source!AV753)*Source!I753, 2), 2)</f>
        <v>0</v>
      </c>
      <c r="V760">
        <f>ROUND((108/100)*ROUND(Source!CS753*Source!I753, 2), 2)</f>
        <v>0</v>
      </c>
    </row>
    <row r="761" spans="1:22" ht="14.25" x14ac:dyDescent="0.2">
      <c r="A761" s="20"/>
      <c r="B761" s="21"/>
      <c r="C761" s="21" t="s">
        <v>688</v>
      </c>
      <c r="D761" s="22" t="s">
        <v>689</v>
      </c>
      <c r="E761" s="9">
        <f>Source!AT752</f>
        <v>70</v>
      </c>
      <c r="F761" s="24"/>
      <c r="G761" s="23"/>
      <c r="H761" s="9"/>
      <c r="I761" s="9"/>
      <c r="J761" s="25">
        <f>SUM(R755:R760)</f>
        <v>7871.72</v>
      </c>
      <c r="K761" s="25"/>
    </row>
    <row r="762" spans="1:22" ht="14.25" x14ac:dyDescent="0.2">
      <c r="A762" s="20"/>
      <c r="B762" s="21"/>
      <c r="C762" s="21" t="s">
        <v>690</v>
      </c>
      <c r="D762" s="22" t="s">
        <v>689</v>
      </c>
      <c r="E762" s="9">
        <f>Source!AU752</f>
        <v>10</v>
      </c>
      <c r="F762" s="24"/>
      <c r="G762" s="23"/>
      <c r="H762" s="9"/>
      <c r="I762" s="9"/>
      <c r="J762" s="25">
        <f>SUM(T755:T761)</f>
        <v>1124.53</v>
      </c>
      <c r="K762" s="25"/>
    </row>
    <row r="763" spans="1:22" ht="14.25" x14ac:dyDescent="0.2">
      <c r="A763" s="20"/>
      <c r="B763" s="21"/>
      <c r="C763" s="21" t="s">
        <v>691</v>
      </c>
      <c r="D763" s="22" t="s">
        <v>689</v>
      </c>
      <c r="E763" s="9">
        <f>108</f>
        <v>108</v>
      </c>
      <c r="F763" s="24"/>
      <c r="G763" s="23"/>
      <c r="H763" s="9"/>
      <c r="I763" s="9"/>
      <c r="J763" s="25">
        <f>SUM(V755:V762)</f>
        <v>13.86</v>
      </c>
      <c r="K763" s="25"/>
    </row>
    <row r="764" spans="1:22" ht="14.25" x14ac:dyDescent="0.2">
      <c r="A764" s="20"/>
      <c r="B764" s="21"/>
      <c r="C764" s="21" t="s">
        <v>692</v>
      </c>
      <c r="D764" s="22" t="s">
        <v>693</v>
      </c>
      <c r="E764" s="9">
        <f>Source!AQ752</f>
        <v>87.4</v>
      </c>
      <c r="F764" s="24"/>
      <c r="G764" s="23" t="str">
        <f>Source!DI752</f>
        <v/>
      </c>
      <c r="H764" s="9">
        <f>Source!AV752</f>
        <v>1</v>
      </c>
      <c r="I764" s="9"/>
      <c r="J764" s="25"/>
      <c r="K764" s="25">
        <f>Source!U752</f>
        <v>43.7</v>
      </c>
    </row>
    <row r="765" spans="1:22" ht="15" x14ac:dyDescent="0.25">
      <c r="A765" s="30"/>
      <c r="B765" s="30"/>
      <c r="C765" s="30"/>
      <c r="D765" s="30"/>
      <c r="E765" s="30"/>
      <c r="F765" s="30"/>
      <c r="G765" s="30"/>
      <c r="H765" s="30"/>
      <c r="I765" s="65">
        <f>J756+J757+J759+J761+J762+J763+SUM(J760:J760)</f>
        <v>77333.990000000005</v>
      </c>
      <c r="J765" s="65"/>
      <c r="K765" s="31">
        <f>IF(Source!I752&lt;&gt;0, ROUND(I765/Source!I752, 2), 0)</f>
        <v>154667.98000000001</v>
      </c>
      <c r="P765" s="28">
        <f>I765</f>
        <v>77333.990000000005</v>
      </c>
    </row>
    <row r="767" spans="1:22" ht="15" x14ac:dyDescent="0.25">
      <c r="A767" s="69" t="str">
        <f>CONCATENATE("Итого по подразделу: ",IF(Source!G755&lt;&gt;"Новый подраздел", Source!G755, ""))</f>
        <v>Итого по подразделу: Строительные работы</v>
      </c>
      <c r="B767" s="69"/>
      <c r="C767" s="69"/>
      <c r="D767" s="69"/>
      <c r="E767" s="69"/>
      <c r="F767" s="69"/>
      <c r="G767" s="69"/>
      <c r="H767" s="69"/>
      <c r="I767" s="66">
        <f>SUM(P732:P766)</f>
        <v>79774.570000000007</v>
      </c>
      <c r="J767" s="67"/>
      <c r="K767" s="33"/>
    </row>
    <row r="770" spans="1:22" ht="15" x14ac:dyDescent="0.25">
      <c r="A770" s="69" t="str">
        <f>CONCATENATE("Итого по разделу: ",IF(Source!G785&lt;&gt;"Новый раздел", Source!G785, ""))</f>
        <v>Итого по разделу: Контейнерная площадка</v>
      </c>
      <c r="B770" s="69"/>
      <c r="C770" s="69"/>
      <c r="D770" s="69"/>
      <c r="E770" s="69"/>
      <c r="F770" s="69"/>
      <c r="G770" s="69"/>
      <c r="H770" s="69"/>
      <c r="I770" s="66">
        <f>SUM(P697:P769)</f>
        <v>83353.62000000001</v>
      </c>
      <c r="J770" s="67"/>
      <c r="K770" s="33"/>
    </row>
    <row r="773" spans="1:22" ht="16.5" x14ac:dyDescent="0.25">
      <c r="A773" s="68" t="str">
        <f>CONCATENATE("Раздел: ",IF(Source!G815&lt;&gt;"Новый раздел", Source!G815, ""))</f>
        <v>Раздел: Асфальт и борткамень</v>
      </c>
      <c r="B773" s="68"/>
      <c r="C773" s="68"/>
      <c r="D773" s="68"/>
      <c r="E773" s="68"/>
      <c r="F773" s="68"/>
      <c r="G773" s="68"/>
      <c r="H773" s="68"/>
      <c r="I773" s="68"/>
      <c r="J773" s="68"/>
      <c r="K773" s="68"/>
    </row>
    <row r="775" spans="1:22" ht="16.5" x14ac:dyDescent="0.25">
      <c r="A775" s="68" t="str">
        <f>CONCATENATE("Подраздел: ",IF(Source!G819&lt;&gt;"Новый подраздел", Source!G819, ""))</f>
        <v>Подраздел: Спорт площадки</v>
      </c>
      <c r="B775" s="68"/>
      <c r="C775" s="68"/>
      <c r="D775" s="68"/>
      <c r="E775" s="68"/>
      <c r="F775" s="68"/>
      <c r="G775" s="68"/>
      <c r="H775" s="68"/>
      <c r="I775" s="68"/>
      <c r="J775" s="68"/>
      <c r="K775" s="68"/>
    </row>
    <row r="776" spans="1:22" ht="57" x14ac:dyDescent="0.2">
      <c r="A776" s="20" t="str">
        <f>Source!E823</f>
        <v>65</v>
      </c>
      <c r="B776" s="21" t="str">
        <f>Source!F823</f>
        <v>5.3-3104-1-1/1</v>
      </c>
      <c r="C776" s="21" t="str">
        <f>Source!G823</f>
        <v>Разборка полиуретанового покрытия игровых площадок, спортивных дорожек и площадок - на асфальтобетонном основании</v>
      </c>
      <c r="D776" s="22" t="str">
        <f>Source!DW823</f>
        <v>100 м2</v>
      </c>
      <c r="E776" s="9">
        <f>Source!I823</f>
        <v>3.48</v>
      </c>
      <c r="F776" s="24"/>
      <c r="G776" s="23"/>
      <c r="H776" s="9"/>
      <c r="I776" s="9"/>
      <c r="J776" s="25"/>
      <c r="K776" s="25"/>
      <c r="Q776">
        <f>ROUND((Source!BZ823/100)*ROUND((Source!AF823*Source!AV823)*Source!I823, 2), 2)</f>
        <v>1478.51</v>
      </c>
      <c r="R776">
        <f>Source!X823</f>
        <v>1478.51</v>
      </c>
      <c r="S776">
        <f>ROUND((Source!CA823/100)*ROUND((Source!AF823*Source!AV823)*Source!I823, 2), 2)</f>
        <v>211.22</v>
      </c>
      <c r="T776">
        <f>Source!Y823</f>
        <v>211.22</v>
      </c>
      <c r="U776">
        <f>ROUND((175/100)*ROUND((Source!AE823*Source!AV823)*Source!I823, 2), 2)</f>
        <v>0</v>
      </c>
      <c r="V776">
        <f>ROUND((108/100)*ROUND(Source!CS823*Source!I823, 2), 2)</f>
        <v>0</v>
      </c>
    </row>
    <row r="777" spans="1:22" x14ac:dyDescent="0.2">
      <c r="C777" s="26" t="str">
        <f>"Объем: "&amp;Source!I823&amp;"=348/"&amp;"100"</f>
        <v>Объем: 3,48=348/100</v>
      </c>
    </row>
    <row r="778" spans="1:22" ht="14.25" x14ac:dyDescent="0.2">
      <c r="A778" s="20"/>
      <c r="B778" s="21"/>
      <c r="C778" s="21" t="s">
        <v>685</v>
      </c>
      <c r="D778" s="22"/>
      <c r="E778" s="9"/>
      <c r="F778" s="24">
        <f>Source!AO823</f>
        <v>606.94000000000005</v>
      </c>
      <c r="G778" s="23" t="str">
        <f>Source!DG823</f>
        <v/>
      </c>
      <c r="H778" s="9">
        <f>Source!AV823</f>
        <v>1</v>
      </c>
      <c r="I778" s="9">
        <f>IF(Source!BA823&lt;&gt; 0, Source!BA823, 1)</f>
        <v>1</v>
      </c>
      <c r="J778" s="25">
        <f>Source!S823</f>
        <v>2112.15</v>
      </c>
      <c r="K778" s="25"/>
    </row>
    <row r="779" spans="1:22" ht="14.25" x14ac:dyDescent="0.2">
      <c r="A779" s="20"/>
      <c r="B779" s="21"/>
      <c r="C779" s="21" t="s">
        <v>688</v>
      </c>
      <c r="D779" s="22" t="s">
        <v>689</v>
      </c>
      <c r="E779" s="9">
        <f>Source!AT823</f>
        <v>70</v>
      </c>
      <c r="F779" s="24"/>
      <c r="G779" s="23"/>
      <c r="H779" s="9"/>
      <c r="I779" s="9"/>
      <c r="J779" s="25">
        <f>SUM(R776:R778)</f>
        <v>1478.51</v>
      </c>
      <c r="K779" s="25"/>
    </row>
    <row r="780" spans="1:22" ht="14.25" x14ac:dyDescent="0.2">
      <c r="A780" s="20"/>
      <c r="B780" s="21"/>
      <c r="C780" s="21" t="s">
        <v>690</v>
      </c>
      <c r="D780" s="22" t="s">
        <v>689</v>
      </c>
      <c r="E780" s="9">
        <f>Source!AU823</f>
        <v>10</v>
      </c>
      <c r="F780" s="24"/>
      <c r="G780" s="23"/>
      <c r="H780" s="9"/>
      <c r="I780" s="9"/>
      <c r="J780" s="25">
        <f>SUM(T776:T779)</f>
        <v>211.22</v>
      </c>
      <c r="K780" s="25"/>
    </row>
    <row r="781" spans="1:22" ht="14.25" x14ac:dyDescent="0.2">
      <c r="A781" s="20"/>
      <c r="B781" s="21"/>
      <c r="C781" s="21" t="s">
        <v>692</v>
      </c>
      <c r="D781" s="22" t="s">
        <v>693</v>
      </c>
      <c r="E781" s="9">
        <f>Source!AQ823</f>
        <v>3.3</v>
      </c>
      <c r="F781" s="24"/>
      <c r="G781" s="23" t="str">
        <f>Source!DI823</f>
        <v/>
      </c>
      <c r="H781" s="9">
        <f>Source!AV823</f>
        <v>1</v>
      </c>
      <c r="I781" s="9"/>
      <c r="J781" s="25"/>
      <c r="K781" s="25">
        <f>Source!U823</f>
        <v>11.484</v>
      </c>
    </row>
    <row r="782" spans="1:22" ht="15" x14ac:dyDescent="0.25">
      <c r="A782" s="30"/>
      <c r="B782" s="30"/>
      <c r="C782" s="30"/>
      <c r="D782" s="30"/>
      <c r="E782" s="30"/>
      <c r="F782" s="30"/>
      <c r="G782" s="30"/>
      <c r="H782" s="30"/>
      <c r="I782" s="65">
        <f>J778+J779+J780</f>
        <v>3801.8799999999997</v>
      </c>
      <c r="J782" s="65"/>
      <c r="K782" s="31">
        <f>IF(Source!I823&lt;&gt;0, ROUND(I782/Source!I823, 2), 0)</f>
        <v>1092.49</v>
      </c>
      <c r="P782" s="28">
        <f>I782</f>
        <v>3801.8799999999997</v>
      </c>
    </row>
    <row r="783" spans="1:22" ht="57" x14ac:dyDescent="0.2">
      <c r="A783" s="20" t="str">
        <f>Source!E824</f>
        <v>66</v>
      </c>
      <c r="B783" s="21" t="str">
        <f>Source!F824</f>
        <v>5.3-3103-11-1/1</v>
      </c>
      <c r="C783" s="21" t="str">
        <f>Source!G824</f>
        <v>Устройство наливного полиуретанового покрытия спортивных площадок и беговых дорожек толщиной 10 мм</v>
      </c>
      <c r="D783" s="22" t="str">
        <f>Source!DW824</f>
        <v>100 м2</v>
      </c>
      <c r="E783" s="9">
        <f>Source!I824</f>
        <v>3.48</v>
      </c>
      <c r="F783" s="24"/>
      <c r="G783" s="23"/>
      <c r="H783" s="9"/>
      <c r="I783" s="9"/>
      <c r="J783" s="25"/>
      <c r="K783" s="25"/>
      <c r="Q783">
        <f>ROUND((Source!BZ824/100)*ROUND((Source!AF824*Source!AV824)*Source!I824, 2), 2)</f>
        <v>9930.67</v>
      </c>
      <c r="R783">
        <f>Source!X824</f>
        <v>9930.67</v>
      </c>
      <c r="S783">
        <f>ROUND((Source!CA824/100)*ROUND((Source!AF824*Source!AV824)*Source!I824, 2), 2)</f>
        <v>1418.67</v>
      </c>
      <c r="T783">
        <f>Source!Y824</f>
        <v>1418.67</v>
      </c>
      <c r="U783">
        <f>ROUND((175/100)*ROUND((Source!AE824*Source!AV824)*Source!I824, 2), 2)</f>
        <v>12566.47</v>
      </c>
      <c r="V783">
        <f>ROUND((108/100)*ROUND(Source!CS824*Source!I824, 2), 2)</f>
        <v>7755.31</v>
      </c>
    </row>
    <row r="784" spans="1:22" x14ac:dyDescent="0.2">
      <c r="C784" s="26" t="str">
        <f>"Объем: "&amp;Source!I824&amp;"=348/"&amp;"100"</f>
        <v>Объем: 3,48=348/100</v>
      </c>
    </row>
    <row r="785" spans="1:22" ht="14.25" x14ac:dyDescent="0.2">
      <c r="A785" s="20"/>
      <c r="B785" s="21"/>
      <c r="C785" s="21" t="s">
        <v>685</v>
      </c>
      <c r="D785" s="22"/>
      <c r="E785" s="9"/>
      <c r="F785" s="24">
        <f>Source!AO824</f>
        <v>4076.63</v>
      </c>
      <c r="G785" s="23" t="str">
        <f>Source!DG824</f>
        <v/>
      </c>
      <c r="H785" s="9">
        <f>Source!AV824</f>
        <v>1</v>
      </c>
      <c r="I785" s="9">
        <f>IF(Source!BA824&lt;&gt; 0, Source!BA824, 1)</f>
        <v>1</v>
      </c>
      <c r="J785" s="25">
        <f>Source!S824</f>
        <v>14186.67</v>
      </c>
      <c r="K785" s="25"/>
    </row>
    <row r="786" spans="1:22" ht="14.25" x14ac:dyDescent="0.2">
      <c r="A786" s="20"/>
      <c r="B786" s="21"/>
      <c r="C786" s="21" t="s">
        <v>686</v>
      </c>
      <c r="D786" s="22"/>
      <c r="E786" s="9"/>
      <c r="F786" s="24">
        <f>Source!AM824</f>
        <v>2617.25</v>
      </c>
      <c r="G786" s="23" t="str">
        <f>Source!DE824</f>
        <v/>
      </c>
      <c r="H786" s="9">
        <f>Source!AV824</f>
        <v>1</v>
      </c>
      <c r="I786" s="9">
        <f>IF(Source!BB824&lt;&gt; 0, Source!BB824, 1)</f>
        <v>1</v>
      </c>
      <c r="J786" s="25">
        <f>Source!Q824</f>
        <v>9108.0300000000007</v>
      </c>
      <c r="K786" s="25"/>
    </row>
    <row r="787" spans="1:22" ht="14.25" x14ac:dyDescent="0.2">
      <c r="A787" s="20"/>
      <c r="B787" s="21"/>
      <c r="C787" s="21" t="s">
        <v>687</v>
      </c>
      <c r="D787" s="22"/>
      <c r="E787" s="9"/>
      <c r="F787" s="24">
        <f>Source!AN824</f>
        <v>2063.46</v>
      </c>
      <c r="G787" s="23" t="str">
        <f>Source!DF824</f>
        <v/>
      </c>
      <c r="H787" s="9">
        <f>Source!AV824</f>
        <v>1</v>
      </c>
      <c r="I787" s="9">
        <f>IF(Source!BS824&lt;&gt; 0, Source!BS824, 1)</f>
        <v>1</v>
      </c>
      <c r="J787" s="27">
        <f>Source!R824</f>
        <v>7180.84</v>
      </c>
      <c r="K787" s="25"/>
    </row>
    <row r="788" spans="1:22" ht="14.25" x14ac:dyDescent="0.2">
      <c r="A788" s="20"/>
      <c r="B788" s="21"/>
      <c r="C788" s="21" t="s">
        <v>694</v>
      </c>
      <c r="D788" s="22"/>
      <c r="E788" s="9"/>
      <c r="F788" s="24">
        <f>Source!AL824</f>
        <v>102359.62</v>
      </c>
      <c r="G788" s="23" t="str">
        <f>Source!DD824</f>
        <v/>
      </c>
      <c r="H788" s="9">
        <f>Source!AW824</f>
        <v>1</v>
      </c>
      <c r="I788" s="9">
        <f>IF(Source!BC824&lt;&gt; 0, Source!BC824, 1)</f>
        <v>1</v>
      </c>
      <c r="J788" s="25">
        <f>Source!P824</f>
        <v>356211.48</v>
      </c>
      <c r="K788" s="25"/>
    </row>
    <row r="789" spans="1:22" ht="14.25" x14ac:dyDescent="0.2">
      <c r="A789" s="20"/>
      <c r="B789" s="21"/>
      <c r="C789" s="21" t="s">
        <v>688</v>
      </c>
      <c r="D789" s="22" t="s">
        <v>689</v>
      </c>
      <c r="E789" s="9">
        <f>Source!AT824</f>
        <v>70</v>
      </c>
      <c r="F789" s="24"/>
      <c r="G789" s="23"/>
      <c r="H789" s="9"/>
      <c r="I789" s="9"/>
      <c r="J789" s="25">
        <f>SUM(R783:R788)</f>
        <v>9930.67</v>
      </c>
      <c r="K789" s="25"/>
    </row>
    <row r="790" spans="1:22" ht="14.25" x14ac:dyDescent="0.2">
      <c r="A790" s="20"/>
      <c r="B790" s="21"/>
      <c r="C790" s="21" t="s">
        <v>690</v>
      </c>
      <c r="D790" s="22" t="s">
        <v>689</v>
      </c>
      <c r="E790" s="9">
        <f>Source!AU824</f>
        <v>10</v>
      </c>
      <c r="F790" s="24"/>
      <c r="G790" s="23"/>
      <c r="H790" s="9"/>
      <c r="I790" s="9"/>
      <c r="J790" s="25">
        <f>SUM(T783:T789)</f>
        <v>1418.67</v>
      </c>
      <c r="K790" s="25"/>
    </row>
    <row r="791" spans="1:22" ht="14.25" x14ac:dyDescent="0.2">
      <c r="A791" s="20"/>
      <c r="B791" s="21"/>
      <c r="C791" s="21" t="s">
        <v>691</v>
      </c>
      <c r="D791" s="22" t="s">
        <v>689</v>
      </c>
      <c r="E791" s="9">
        <f>108</f>
        <v>108</v>
      </c>
      <c r="F791" s="24"/>
      <c r="G791" s="23"/>
      <c r="H791" s="9"/>
      <c r="I791" s="9"/>
      <c r="J791" s="25">
        <f>SUM(V783:V790)</f>
        <v>7755.31</v>
      </c>
      <c r="K791" s="25"/>
    </row>
    <row r="792" spans="1:22" ht="14.25" x14ac:dyDescent="0.2">
      <c r="A792" s="20"/>
      <c r="B792" s="21"/>
      <c r="C792" s="21" t="s">
        <v>692</v>
      </c>
      <c r="D792" s="22" t="s">
        <v>693</v>
      </c>
      <c r="E792" s="9">
        <f>Source!AQ824</f>
        <v>18.440000000000001</v>
      </c>
      <c r="F792" s="24"/>
      <c r="G792" s="23" t="str">
        <f>Source!DI824</f>
        <v/>
      </c>
      <c r="H792" s="9">
        <f>Source!AV824</f>
        <v>1</v>
      </c>
      <c r="I792" s="9"/>
      <c r="J792" s="25"/>
      <c r="K792" s="25">
        <f>Source!U824</f>
        <v>64.171199999999999</v>
      </c>
    </row>
    <row r="793" spans="1:22" ht="15" x14ac:dyDescent="0.25">
      <c r="A793" s="30"/>
      <c r="B793" s="30"/>
      <c r="C793" s="30"/>
      <c r="D793" s="30"/>
      <c r="E793" s="30"/>
      <c r="F793" s="30"/>
      <c r="G793" s="30"/>
      <c r="H793" s="30"/>
      <c r="I793" s="65">
        <f>J785+J786+J788+J789+J790+J791</f>
        <v>398610.82999999996</v>
      </c>
      <c r="J793" s="65"/>
      <c r="K793" s="31">
        <f>IF(Source!I824&lt;&gt;0, ROUND(I793/Source!I824, 2), 0)</f>
        <v>114543.34</v>
      </c>
      <c r="P793" s="28">
        <f>I793</f>
        <v>398610.82999999996</v>
      </c>
    </row>
    <row r="794" spans="1:22" ht="28.5" x14ac:dyDescent="0.2">
      <c r="A794" s="20" t="str">
        <f>Source!E825</f>
        <v>67</v>
      </c>
      <c r="B794" s="21" t="str">
        <f>Source!F825</f>
        <v>1.50-3203-37-2/1</v>
      </c>
      <c r="C794" s="21" t="str">
        <f>Source!G825</f>
        <v>Монтаж мелких конструкций из стали различного профиля массой до 50 кг</v>
      </c>
      <c r="D794" s="22" t="str">
        <f>Source!DW825</f>
        <v>т</v>
      </c>
      <c r="E794" s="9">
        <f>Source!I825</f>
        <v>0.1</v>
      </c>
      <c r="F794" s="24"/>
      <c r="G794" s="23"/>
      <c r="H794" s="9"/>
      <c r="I794" s="9"/>
      <c r="J794" s="25"/>
      <c r="K794" s="25"/>
      <c r="Q794">
        <f>ROUND((Source!BZ825/100)*ROUND((Source!AF825*Source!AV825)*Source!I825, 2), 2)</f>
        <v>1988.64</v>
      </c>
      <c r="R794">
        <f>Source!X825</f>
        <v>1988.64</v>
      </c>
      <c r="S794">
        <f>ROUND((Source!CA825/100)*ROUND((Source!AF825*Source!AV825)*Source!I825, 2), 2)</f>
        <v>284.08999999999997</v>
      </c>
      <c r="T794">
        <f>Source!Y825</f>
        <v>284.08999999999997</v>
      </c>
      <c r="U794">
        <f>ROUND((175/100)*ROUND((Source!AE825*Source!AV825)*Source!I825, 2), 2)</f>
        <v>5.67</v>
      </c>
      <c r="V794">
        <f>ROUND((108/100)*ROUND(Source!CS825*Source!I825, 2), 2)</f>
        <v>3.5</v>
      </c>
    </row>
    <row r="795" spans="1:22" ht="14.25" x14ac:dyDescent="0.2">
      <c r="A795" s="20"/>
      <c r="B795" s="21"/>
      <c r="C795" s="21" t="s">
        <v>685</v>
      </c>
      <c r="D795" s="22"/>
      <c r="E795" s="9"/>
      <c r="F795" s="24">
        <f>Source!AO825</f>
        <v>28409.23</v>
      </c>
      <c r="G795" s="23" t="str">
        <f>Source!DG825</f>
        <v/>
      </c>
      <c r="H795" s="9">
        <f>Source!AV825</f>
        <v>1</v>
      </c>
      <c r="I795" s="9">
        <f>IF(Source!BA825&lt;&gt; 0, Source!BA825, 1)</f>
        <v>1</v>
      </c>
      <c r="J795" s="25">
        <f>Source!S825</f>
        <v>2840.92</v>
      </c>
      <c r="K795" s="25"/>
    </row>
    <row r="796" spans="1:22" ht="14.25" x14ac:dyDescent="0.2">
      <c r="A796" s="20"/>
      <c r="B796" s="21"/>
      <c r="C796" s="21" t="s">
        <v>686</v>
      </c>
      <c r="D796" s="22"/>
      <c r="E796" s="9"/>
      <c r="F796" s="24">
        <f>Source!AM825</f>
        <v>744</v>
      </c>
      <c r="G796" s="23" t="str">
        <f>Source!DE825</f>
        <v/>
      </c>
      <c r="H796" s="9">
        <f>Source!AV825</f>
        <v>1</v>
      </c>
      <c r="I796" s="9">
        <f>IF(Source!BB825&lt;&gt; 0, Source!BB825, 1)</f>
        <v>1</v>
      </c>
      <c r="J796" s="25">
        <f>Source!Q825</f>
        <v>74.400000000000006</v>
      </c>
      <c r="K796" s="25"/>
    </row>
    <row r="797" spans="1:22" ht="14.25" x14ac:dyDescent="0.2">
      <c r="A797" s="20"/>
      <c r="B797" s="21"/>
      <c r="C797" s="21" t="s">
        <v>687</v>
      </c>
      <c r="D797" s="22"/>
      <c r="E797" s="9"/>
      <c r="F797" s="24">
        <f>Source!AN825</f>
        <v>32.4</v>
      </c>
      <c r="G797" s="23" t="str">
        <f>Source!DF825</f>
        <v/>
      </c>
      <c r="H797" s="9">
        <f>Source!AV825</f>
        <v>1</v>
      </c>
      <c r="I797" s="9">
        <f>IF(Source!BS825&lt;&gt; 0, Source!BS825, 1)</f>
        <v>1</v>
      </c>
      <c r="J797" s="27">
        <f>Source!R825</f>
        <v>3.24</v>
      </c>
      <c r="K797" s="25"/>
    </row>
    <row r="798" spans="1:22" ht="14.25" x14ac:dyDescent="0.2">
      <c r="A798" s="20"/>
      <c r="B798" s="21"/>
      <c r="C798" s="21" t="s">
        <v>694</v>
      </c>
      <c r="D798" s="22"/>
      <c r="E798" s="9"/>
      <c r="F798" s="24">
        <f>Source!AL825</f>
        <v>80469.53</v>
      </c>
      <c r="G798" s="23" t="str">
        <f>Source!DD825</f>
        <v/>
      </c>
      <c r="H798" s="9">
        <f>Source!AW825</f>
        <v>1</v>
      </c>
      <c r="I798" s="9">
        <f>IF(Source!BC825&lt;&gt; 0, Source!BC825, 1)</f>
        <v>1</v>
      </c>
      <c r="J798" s="25">
        <f>Source!P825</f>
        <v>8046.95</v>
      </c>
      <c r="K798" s="25"/>
    </row>
    <row r="799" spans="1:22" ht="42.75" x14ac:dyDescent="0.2">
      <c r="A799" s="20" t="str">
        <f>Source!E826</f>
        <v>67,1</v>
      </c>
      <c r="B799" s="21" t="str">
        <f>Source!F826</f>
        <v>Цена поставщика</v>
      </c>
      <c r="C799" s="21" t="s">
        <v>721</v>
      </c>
      <c r="D799" s="22" t="str">
        <f>Source!DW826</f>
        <v>шт.</v>
      </c>
      <c r="E799" s="9">
        <f>Source!I826</f>
        <v>2</v>
      </c>
      <c r="F799" s="24">
        <f>Source!AK826</f>
        <v>10625</v>
      </c>
      <c r="G799" s="34" t="s">
        <v>3</v>
      </c>
      <c r="H799" s="9">
        <f>Source!AW826</f>
        <v>1</v>
      </c>
      <c r="I799" s="9">
        <f>IF(Source!BC826&lt;&gt; 0, Source!BC826, 1)</f>
        <v>1</v>
      </c>
      <c r="J799" s="25">
        <f>Source!O826</f>
        <v>21250</v>
      </c>
      <c r="K799" s="25"/>
      <c r="Q799">
        <f>ROUND((Source!BZ826/100)*ROUND((Source!AF826*Source!AV826)*Source!I826, 2), 2)</f>
        <v>0</v>
      </c>
      <c r="R799">
        <f>Source!X826</f>
        <v>0</v>
      </c>
      <c r="S799">
        <f>ROUND((Source!CA826/100)*ROUND((Source!AF826*Source!AV826)*Source!I826, 2), 2)</f>
        <v>0</v>
      </c>
      <c r="T799">
        <f>Source!Y826</f>
        <v>0</v>
      </c>
      <c r="U799">
        <f>ROUND((175/100)*ROUND((Source!AE826*Source!AV826)*Source!I826, 2), 2)</f>
        <v>0</v>
      </c>
      <c r="V799">
        <f>ROUND((108/100)*ROUND(Source!CS826*Source!I826, 2), 2)</f>
        <v>0</v>
      </c>
    </row>
    <row r="800" spans="1:22" ht="14.25" x14ac:dyDescent="0.2">
      <c r="A800" s="20"/>
      <c r="B800" s="21"/>
      <c r="C800" s="21" t="s">
        <v>688</v>
      </c>
      <c r="D800" s="22" t="s">
        <v>689</v>
      </c>
      <c r="E800" s="9">
        <f>Source!AT825</f>
        <v>70</v>
      </c>
      <c r="F800" s="24"/>
      <c r="G800" s="23"/>
      <c r="H800" s="9"/>
      <c r="I800" s="9"/>
      <c r="J800" s="25">
        <f>SUM(R794:R799)</f>
        <v>1988.64</v>
      </c>
      <c r="K800" s="25"/>
    </row>
    <row r="801" spans="1:22" ht="14.25" x14ac:dyDescent="0.2">
      <c r="A801" s="20"/>
      <c r="B801" s="21"/>
      <c r="C801" s="21" t="s">
        <v>690</v>
      </c>
      <c r="D801" s="22" t="s">
        <v>689</v>
      </c>
      <c r="E801" s="9">
        <f>Source!AU825</f>
        <v>10</v>
      </c>
      <c r="F801" s="24"/>
      <c r="G801" s="23"/>
      <c r="H801" s="9"/>
      <c r="I801" s="9"/>
      <c r="J801" s="25">
        <f>SUM(T794:T800)</f>
        <v>284.08999999999997</v>
      </c>
      <c r="K801" s="25"/>
    </row>
    <row r="802" spans="1:22" ht="14.25" x14ac:dyDescent="0.2">
      <c r="A802" s="20"/>
      <c r="B802" s="21"/>
      <c r="C802" s="21" t="s">
        <v>691</v>
      </c>
      <c r="D802" s="22" t="s">
        <v>689</v>
      </c>
      <c r="E802" s="9">
        <f>108</f>
        <v>108</v>
      </c>
      <c r="F802" s="24"/>
      <c r="G802" s="23"/>
      <c r="H802" s="9"/>
      <c r="I802" s="9"/>
      <c r="J802" s="25">
        <f>SUM(V794:V801)</f>
        <v>3.5</v>
      </c>
      <c r="K802" s="25"/>
    </row>
    <row r="803" spans="1:22" ht="14.25" x14ac:dyDescent="0.2">
      <c r="A803" s="20"/>
      <c r="B803" s="21"/>
      <c r="C803" s="21" t="s">
        <v>692</v>
      </c>
      <c r="D803" s="22" t="s">
        <v>693</v>
      </c>
      <c r="E803" s="9">
        <f>Source!AQ825</f>
        <v>110.4</v>
      </c>
      <c r="F803" s="24"/>
      <c r="G803" s="23" t="str">
        <f>Source!DI825</f>
        <v/>
      </c>
      <c r="H803" s="9">
        <f>Source!AV825</f>
        <v>1</v>
      </c>
      <c r="I803" s="9"/>
      <c r="J803" s="25"/>
      <c r="K803" s="25">
        <f>Source!U825</f>
        <v>11.040000000000001</v>
      </c>
    </row>
    <row r="804" spans="1:22" ht="15" x14ac:dyDescent="0.25">
      <c r="A804" s="30"/>
      <c r="B804" s="30"/>
      <c r="C804" s="30"/>
      <c r="D804" s="30"/>
      <c r="E804" s="30"/>
      <c r="F804" s="30"/>
      <c r="G804" s="30"/>
      <c r="H804" s="30"/>
      <c r="I804" s="65">
        <f>J795+J796+J798+J800+J801+J802+SUM(J799:J799)</f>
        <v>34488.5</v>
      </c>
      <c r="J804" s="65"/>
      <c r="K804" s="31">
        <f>IF(Source!I825&lt;&gt;0, ROUND(I804/Source!I825, 2), 0)</f>
        <v>344885</v>
      </c>
      <c r="P804" s="28">
        <f>I804</f>
        <v>34488.5</v>
      </c>
    </row>
    <row r="806" spans="1:22" ht="15" x14ac:dyDescent="0.25">
      <c r="A806" s="69" t="str">
        <f>CONCATENATE("Итого по подразделу: ",IF(Source!G828&lt;&gt;"Новый подраздел", Source!G828, ""))</f>
        <v>Итого по подразделу: Спорт площадки</v>
      </c>
      <c r="B806" s="69"/>
      <c r="C806" s="69"/>
      <c r="D806" s="69"/>
      <c r="E806" s="69"/>
      <c r="F806" s="69"/>
      <c r="G806" s="69"/>
      <c r="H806" s="69"/>
      <c r="I806" s="66">
        <f>SUM(P775:P805)</f>
        <v>436901.20999999996</v>
      </c>
      <c r="J806" s="67"/>
      <c r="K806" s="33"/>
    </row>
    <row r="809" spans="1:22" ht="15" x14ac:dyDescent="0.25">
      <c r="A809" s="69" t="str">
        <f>CONCATENATE("Итого по разделу: ",IF(Source!G858&lt;&gt;"Новый раздел", Source!G858, ""))</f>
        <v>Итого по разделу: Асфальт и борткамень</v>
      </c>
      <c r="B809" s="69"/>
      <c r="C809" s="69"/>
      <c r="D809" s="69"/>
      <c r="E809" s="69"/>
      <c r="F809" s="69"/>
      <c r="G809" s="69"/>
      <c r="H809" s="69"/>
      <c r="I809" s="66">
        <f>SUM(P773:P808)</f>
        <v>436901.20999999996</v>
      </c>
      <c r="J809" s="67"/>
      <c r="K809" s="33"/>
    </row>
    <row r="812" spans="1:22" ht="16.5" x14ac:dyDescent="0.25">
      <c r="A812" s="68" t="str">
        <f>CONCATENATE("Раздел: ",IF(Source!G888&lt;&gt;"Новый раздел", Source!G888, ""))</f>
        <v>Раздел: Мусор</v>
      </c>
      <c r="B812" s="68"/>
      <c r="C812" s="68"/>
      <c r="D812" s="68"/>
      <c r="E812" s="68"/>
      <c r="F812" s="68"/>
      <c r="G812" s="68"/>
      <c r="H812" s="68"/>
      <c r="I812" s="68"/>
      <c r="J812" s="68"/>
      <c r="K812" s="68"/>
    </row>
    <row r="813" spans="1:22" ht="42.75" x14ac:dyDescent="0.2">
      <c r="A813" s="20" t="str">
        <f>Source!E892</f>
        <v>68</v>
      </c>
      <c r="B813" s="21" t="str">
        <f>Source!F892</f>
        <v>1.49-9101-7-1/1</v>
      </c>
      <c r="C813" s="21" t="str">
        <f>Source!G892</f>
        <v>Механизированная погрузка строительного мусора в автомобили-самосвалы</v>
      </c>
      <c r="D813" s="22" t="str">
        <f>Source!DW892</f>
        <v>т</v>
      </c>
      <c r="E813" s="9">
        <f>Source!I892</f>
        <v>173.65</v>
      </c>
      <c r="F813" s="24"/>
      <c r="G813" s="23"/>
      <c r="H813" s="9"/>
      <c r="I813" s="9"/>
      <c r="J813" s="25"/>
      <c r="K813" s="25"/>
      <c r="Q813">
        <f>ROUND((Source!BZ892/100)*ROUND((Source!AF892*Source!AV892)*Source!I892, 2), 2)</f>
        <v>0</v>
      </c>
      <c r="R813">
        <f>Source!X892</f>
        <v>0</v>
      </c>
      <c r="S813">
        <f>ROUND((Source!CA892/100)*ROUND((Source!AF892*Source!AV892)*Source!I892, 2), 2)</f>
        <v>0</v>
      </c>
      <c r="T813">
        <f>Source!Y892</f>
        <v>0</v>
      </c>
      <c r="U813">
        <f>ROUND((175/100)*ROUND((Source!AE892*Source!AV892)*Source!I892, 2), 2)</f>
        <v>7852.46</v>
      </c>
      <c r="V813">
        <f>ROUND((108/100)*ROUND(Source!CS892*Source!I892, 2), 2)</f>
        <v>4846.09</v>
      </c>
    </row>
    <row r="814" spans="1:22" ht="14.25" x14ac:dyDescent="0.2">
      <c r="A814" s="20"/>
      <c r="B814" s="21"/>
      <c r="C814" s="21" t="s">
        <v>686</v>
      </c>
      <c r="D814" s="22"/>
      <c r="E814" s="9"/>
      <c r="F814" s="24">
        <f>Source!AM892</f>
        <v>80.25</v>
      </c>
      <c r="G814" s="23" t="str">
        <f>Source!DE892</f>
        <v/>
      </c>
      <c r="H814" s="9">
        <f>Source!AV892</f>
        <v>1</v>
      </c>
      <c r="I814" s="9">
        <f>IF(Source!BB892&lt;&gt; 0, Source!BB892, 1)</f>
        <v>1</v>
      </c>
      <c r="J814" s="25">
        <f>Source!Q892</f>
        <v>13935.41</v>
      </c>
      <c r="K814" s="25"/>
    </row>
    <row r="815" spans="1:22" ht="14.25" x14ac:dyDescent="0.2">
      <c r="A815" s="20"/>
      <c r="B815" s="21"/>
      <c r="C815" s="21" t="s">
        <v>687</v>
      </c>
      <c r="D815" s="22"/>
      <c r="E815" s="9"/>
      <c r="F815" s="24">
        <f>Source!AN892</f>
        <v>25.84</v>
      </c>
      <c r="G815" s="23" t="str">
        <f>Source!DF892</f>
        <v/>
      </c>
      <c r="H815" s="9">
        <f>Source!AV892</f>
        <v>1</v>
      </c>
      <c r="I815" s="9">
        <f>IF(Source!BS892&lt;&gt; 0, Source!BS892, 1)</f>
        <v>1</v>
      </c>
      <c r="J815" s="27">
        <f>Source!R892</f>
        <v>4487.12</v>
      </c>
      <c r="K815" s="25"/>
    </row>
    <row r="816" spans="1:22" ht="14.25" x14ac:dyDescent="0.2">
      <c r="A816" s="20"/>
      <c r="B816" s="21"/>
      <c r="C816" s="21" t="s">
        <v>691</v>
      </c>
      <c r="D816" s="22" t="s">
        <v>689</v>
      </c>
      <c r="E816" s="9">
        <f>108</f>
        <v>108</v>
      </c>
      <c r="F816" s="24"/>
      <c r="G816" s="23"/>
      <c r="H816" s="9"/>
      <c r="I816" s="9"/>
      <c r="J816" s="25">
        <f>SUM(V813:V815)</f>
        <v>4846.09</v>
      </c>
      <c r="K816" s="25"/>
    </row>
    <row r="817" spans="1:22" ht="15" x14ac:dyDescent="0.25">
      <c r="A817" s="30"/>
      <c r="B817" s="30"/>
      <c r="C817" s="30"/>
      <c r="D817" s="30"/>
      <c r="E817" s="30"/>
      <c r="F817" s="30"/>
      <c r="G817" s="30"/>
      <c r="H817" s="30"/>
      <c r="I817" s="65">
        <f>J814+J816</f>
        <v>18781.5</v>
      </c>
      <c r="J817" s="65"/>
      <c r="K817" s="31">
        <f>IF(Source!I892&lt;&gt;0, ROUND(I817/Source!I892, 2), 0)</f>
        <v>108.16</v>
      </c>
      <c r="P817" s="28">
        <f>I817</f>
        <v>18781.5</v>
      </c>
    </row>
    <row r="818" spans="1:22" ht="57" x14ac:dyDescent="0.2">
      <c r="A818" s="20" t="str">
        <f>Source!E893</f>
        <v>69</v>
      </c>
      <c r="B818" s="21" t="str">
        <f>Source!F893</f>
        <v>1.49-9201-1-2/1</v>
      </c>
      <c r="C818" s="21" t="str">
        <f>Source!G893</f>
        <v>Перевозка строительного мусора автосамосвалами грузоподъемностью до 10 т на расстояние 1 км - при механизированной погрузке</v>
      </c>
      <c r="D818" s="22" t="str">
        <f>Source!DW893</f>
        <v>т</v>
      </c>
      <c r="E818" s="9">
        <f>Source!I893</f>
        <v>173.65</v>
      </c>
      <c r="F818" s="24"/>
      <c r="G818" s="23"/>
      <c r="H818" s="9"/>
      <c r="I818" s="9"/>
      <c r="J818" s="25"/>
      <c r="K818" s="25"/>
      <c r="Q818">
        <f>ROUND((Source!BZ893/100)*ROUND((Source!AF893*Source!AV893)*Source!I893, 2), 2)</f>
        <v>0</v>
      </c>
      <c r="R818">
        <f>Source!X893</f>
        <v>0</v>
      </c>
      <c r="S818">
        <f>ROUND((Source!CA893/100)*ROUND((Source!AF893*Source!AV893)*Source!I893, 2), 2)</f>
        <v>0</v>
      </c>
      <c r="T818">
        <f>Source!Y893</f>
        <v>0</v>
      </c>
      <c r="U818">
        <f>ROUND((175/100)*ROUND((Source!AE893*Source!AV893)*Source!I893, 2), 2)</f>
        <v>9554.23</v>
      </c>
      <c r="V818">
        <f>ROUND((108/100)*ROUND(Source!CS893*Source!I893, 2), 2)</f>
        <v>5896.32</v>
      </c>
    </row>
    <row r="819" spans="1:22" ht="14.25" x14ac:dyDescent="0.2">
      <c r="A819" s="20"/>
      <c r="B819" s="21"/>
      <c r="C819" s="21" t="s">
        <v>686</v>
      </c>
      <c r="D819" s="22"/>
      <c r="E819" s="9"/>
      <c r="F819" s="24">
        <f>Source!AM893</f>
        <v>57.83</v>
      </c>
      <c r="G819" s="23" t="str">
        <f>Source!DE893</f>
        <v/>
      </c>
      <c r="H819" s="9">
        <f>Source!AV893</f>
        <v>1</v>
      </c>
      <c r="I819" s="9">
        <f>IF(Source!BB893&lt;&gt; 0, Source!BB893, 1)</f>
        <v>1</v>
      </c>
      <c r="J819" s="25">
        <f>Source!Q893</f>
        <v>10042.18</v>
      </c>
      <c r="K819" s="25"/>
    </row>
    <row r="820" spans="1:22" ht="14.25" x14ac:dyDescent="0.2">
      <c r="A820" s="20"/>
      <c r="B820" s="21"/>
      <c r="C820" s="21" t="s">
        <v>687</v>
      </c>
      <c r="D820" s="22"/>
      <c r="E820" s="9"/>
      <c r="F820" s="24">
        <f>Source!AN893</f>
        <v>31.44</v>
      </c>
      <c r="G820" s="23" t="str">
        <f>Source!DF893</f>
        <v/>
      </c>
      <c r="H820" s="9">
        <f>Source!AV893</f>
        <v>1</v>
      </c>
      <c r="I820" s="9">
        <f>IF(Source!BS893&lt;&gt; 0, Source!BS893, 1)</f>
        <v>1</v>
      </c>
      <c r="J820" s="27">
        <f>Source!R893</f>
        <v>5459.56</v>
      </c>
      <c r="K820" s="25"/>
    </row>
    <row r="821" spans="1:22" ht="15" x14ac:dyDescent="0.25">
      <c r="A821" s="30"/>
      <c r="B821" s="30"/>
      <c r="C821" s="30"/>
      <c r="D821" s="30"/>
      <c r="E821" s="30"/>
      <c r="F821" s="30"/>
      <c r="G821" s="30"/>
      <c r="H821" s="30"/>
      <c r="I821" s="65">
        <f>J819</f>
        <v>10042.18</v>
      </c>
      <c r="J821" s="65"/>
      <c r="K821" s="31">
        <f>IF(Source!I893&lt;&gt;0, ROUND(I821/Source!I893, 2), 0)</f>
        <v>57.83</v>
      </c>
      <c r="P821" s="28">
        <f>I821</f>
        <v>10042.18</v>
      </c>
    </row>
    <row r="822" spans="1:22" ht="57" x14ac:dyDescent="0.2">
      <c r="A822" s="20" t="str">
        <f>Source!E894</f>
        <v>70</v>
      </c>
      <c r="B822" s="21" t="str">
        <f>Source!F894</f>
        <v>1.49-9201-1-3/1</v>
      </c>
      <c r="C822" s="21" t="str">
        <f>Source!G894</f>
        <v>Перевозка строительного мусора автосамосвалами грузоподъемностью до 10 т - добавляется на каждый последующий 1 км до 100 км</v>
      </c>
      <c r="D822" s="22" t="str">
        <f>Source!DW894</f>
        <v>т</v>
      </c>
      <c r="E822" s="9">
        <f>Source!I894</f>
        <v>173.65</v>
      </c>
      <c r="F822" s="24"/>
      <c r="G822" s="23"/>
      <c r="H822" s="9"/>
      <c r="I822" s="9"/>
      <c r="J822" s="25"/>
      <c r="K822" s="25"/>
      <c r="Q822">
        <f>ROUND((Source!BZ894/100)*ROUND((Source!AF894*Source!AV894)*Source!I894, 2), 2)</f>
        <v>0</v>
      </c>
      <c r="R822">
        <f>Source!X894</f>
        <v>0</v>
      </c>
      <c r="S822">
        <f>ROUND((Source!CA894/100)*ROUND((Source!AF894*Source!AV894)*Source!I894, 2), 2)</f>
        <v>0</v>
      </c>
      <c r="T822">
        <f>Source!Y894</f>
        <v>0</v>
      </c>
      <c r="U822">
        <f>ROUND((175/100)*ROUND((Source!AE894*Source!AV894)*Source!I894, 2), 2)</f>
        <v>126696.78</v>
      </c>
      <c r="V822">
        <f>ROUND((108/100)*ROUND(Source!CS894*Source!I894, 2), 2)</f>
        <v>78190.009999999995</v>
      </c>
    </row>
    <row r="823" spans="1:22" ht="14.25" x14ac:dyDescent="0.2">
      <c r="A823" s="20"/>
      <c r="B823" s="21"/>
      <c r="C823" s="21" t="s">
        <v>686</v>
      </c>
      <c r="D823" s="22"/>
      <c r="E823" s="9"/>
      <c r="F823" s="24">
        <f>Source!AM894</f>
        <v>27.39</v>
      </c>
      <c r="G823" s="23" t="str">
        <f>Source!DE894</f>
        <v>)*28</v>
      </c>
      <c r="H823" s="9">
        <f>Source!AV894</f>
        <v>1</v>
      </c>
      <c r="I823" s="9">
        <f>IF(Source!BB894&lt;&gt; 0, Source!BB894, 1)</f>
        <v>1</v>
      </c>
      <c r="J823" s="25">
        <f>Source!Q894</f>
        <v>133175.66</v>
      </c>
      <c r="K823" s="25"/>
    </row>
    <row r="824" spans="1:22" ht="14.25" x14ac:dyDescent="0.2">
      <c r="A824" s="20"/>
      <c r="B824" s="21"/>
      <c r="C824" s="21" t="s">
        <v>687</v>
      </c>
      <c r="D824" s="22"/>
      <c r="E824" s="9"/>
      <c r="F824" s="24">
        <f>Source!AN894</f>
        <v>14.89</v>
      </c>
      <c r="G824" s="23" t="str">
        <f>Source!DF894</f>
        <v>)*28</v>
      </c>
      <c r="H824" s="9">
        <f>Source!AV894</f>
        <v>1</v>
      </c>
      <c r="I824" s="9">
        <f>IF(Source!BS894&lt;&gt; 0, Source!BS894, 1)</f>
        <v>1</v>
      </c>
      <c r="J824" s="27">
        <f>Source!R894</f>
        <v>72398.16</v>
      </c>
      <c r="K824" s="25"/>
    </row>
    <row r="825" spans="1:22" ht="15" x14ac:dyDescent="0.25">
      <c r="A825" s="30"/>
      <c r="B825" s="30"/>
      <c r="C825" s="30"/>
      <c r="D825" s="30"/>
      <c r="E825" s="30"/>
      <c r="F825" s="30"/>
      <c r="G825" s="30"/>
      <c r="H825" s="30"/>
      <c r="I825" s="65">
        <f>J823</f>
        <v>133175.66</v>
      </c>
      <c r="J825" s="65"/>
      <c r="K825" s="31">
        <f>IF(Source!I894&lt;&gt;0, ROUND(I825/Source!I894, 2), 0)</f>
        <v>766.92</v>
      </c>
      <c r="P825" s="28">
        <f>I825</f>
        <v>133175.66</v>
      </c>
    </row>
    <row r="827" spans="1:22" ht="15" x14ac:dyDescent="0.25">
      <c r="A827" s="69" t="str">
        <f>CONCATENATE("Итого по разделу: ",IF(Source!G896&lt;&gt;"Новый раздел", Source!G896, ""))</f>
        <v>Итого по разделу: Мусор</v>
      </c>
      <c r="B827" s="69"/>
      <c r="C827" s="69"/>
      <c r="D827" s="69"/>
      <c r="E827" s="69"/>
      <c r="F827" s="69"/>
      <c r="G827" s="69"/>
      <c r="H827" s="69"/>
      <c r="I827" s="66">
        <f>SUM(P812:P826)</f>
        <v>161999.34</v>
      </c>
      <c r="J827" s="67"/>
      <c r="K827" s="33"/>
    </row>
    <row r="830" spans="1:22" ht="15" x14ac:dyDescent="0.25">
      <c r="A830" s="69" t="str">
        <f>CONCATENATE("Итого по локальной смете: ",IF(Source!G926&lt;&gt;"Новая локальная смета", Source!G926, ""))</f>
        <v xml:space="preserve">Итого по локальной смете: </v>
      </c>
      <c r="B830" s="69"/>
      <c r="C830" s="69"/>
      <c r="D830" s="69"/>
      <c r="E830" s="69"/>
      <c r="F830" s="69"/>
      <c r="G830" s="69"/>
      <c r="H830" s="69"/>
      <c r="I830" s="66">
        <f>SUM(P32:P829)</f>
        <v>6627373.1000000006</v>
      </c>
      <c r="J830" s="67"/>
      <c r="K830" s="33"/>
    </row>
    <row r="833" spans="1:11" ht="15" x14ac:dyDescent="0.25">
      <c r="A833" s="69" t="str">
        <f>CONCATENATE("Итого по смете: ",IF(Source!G956&lt;&gt;"Новый объект", Source!G956, ""))</f>
        <v>Итого по смете: Выполнение работ по проведению ремонта прилегающей территории для нужд ГБОУ Школа № 630</v>
      </c>
      <c r="B833" s="69"/>
      <c r="C833" s="69"/>
      <c r="D833" s="69"/>
      <c r="E833" s="69"/>
      <c r="F833" s="69"/>
      <c r="G833" s="69"/>
      <c r="H833" s="69"/>
      <c r="I833" s="66">
        <f>SUM(P1:P832)</f>
        <v>6627373.1000000006</v>
      </c>
      <c r="J833" s="67"/>
      <c r="K833" s="33"/>
    </row>
    <row r="834" spans="1:11" ht="14.25" x14ac:dyDescent="0.2">
      <c r="C834" s="62" t="str">
        <f>Source!H985</f>
        <v>Итого</v>
      </c>
      <c r="D834" s="62"/>
      <c r="E834" s="62"/>
      <c r="F834" s="62"/>
      <c r="G834" s="62"/>
      <c r="H834" s="62"/>
      <c r="I834" s="59">
        <f>IF(Source!F985=0, "", Source!F985)</f>
        <v>6627373.0999999996</v>
      </c>
      <c r="J834" s="59"/>
    </row>
    <row r="835" spans="1:11" ht="14.25" x14ac:dyDescent="0.2">
      <c r="C835" s="62" t="str">
        <f>Source!H986</f>
        <v>НДС 20%</v>
      </c>
      <c r="D835" s="62"/>
      <c r="E835" s="62"/>
      <c r="F835" s="62"/>
      <c r="G835" s="62"/>
      <c r="H835" s="62"/>
      <c r="I835" s="59">
        <f>IF(Source!F986=0, "", Source!F986)</f>
        <v>1325474.6200000001</v>
      </c>
      <c r="J835" s="59"/>
    </row>
    <row r="836" spans="1:11" ht="14.25" x14ac:dyDescent="0.2">
      <c r="C836" s="62" t="str">
        <f>Source!H987</f>
        <v>Всего</v>
      </c>
      <c r="D836" s="62"/>
      <c r="E836" s="62"/>
      <c r="F836" s="62"/>
      <c r="G836" s="62"/>
      <c r="H836" s="62"/>
      <c r="I836" s="59">
        <f>IF(Source!F987=0, "", Source!F987)</f>
        <v>7952847.7199999997</v>
      </c>
      <c r="J836" s="59"/>
    </row>
    <row r="839" spans="1:11" ht="14.25" x14ac:dyDescent="0.2">
      <c r="A839" s="70" t="s">
        <v>722</v>
      </c>
      <c r="B839" s="70"/>
      <c r="C839" s="35" t="str">
        <f>IF(Source!AC12&lt;&gt;"", Source!AC12," ")</f>
        <v xml:space="preserve"> </v>
      </c>
      <c r="D839" s="35"/>
      <c r="E839" s="35"/>
      <c r="F839" s="35"/>
      <c r="G839" s="35"/>
      <c r="H839" s="10" t="str">
        <f>IF(Source!AB12&lt;&gt;"", Source!AB12," ")</f>
        <v xml:space="preserve"> </v>
      </c>
      <c r="I839" s="10"/>
      <c r="J839" s="10"/>
      <c r="K839" s="10"/>
    </row>
    <row r="840" spans="1:11" ht="14.25" x14ac:dyDescent="0.2">
      <c r="A840" s="10"/>
      <c r="B840" s="10"/>
      <c r="C840" s="71" t="s">
        <v>723</v>
      </c>
      <c r="D840" s="71"/>
      <c r="E840" s="71"/>
      <c r="F840" s="71"/>
      <c r="G840" s="71"/>
      <c r="H840" s="10"/>
      <c r="I840" s="10"/>
      <c r="J840" s="10"/>
      <c r="K840" s="10"/>
    </row>
    <row r="841" spans="1:11" ht="14.25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</row>
    <row r="842" spans="1:11" ht="14.25" x14ac:dyDescent="0.2">
      <c r="A842" s="70" t="s">
        <v>724</v>
      </c>
      <c r="B842" s="70"/>
      <c r="C842" s="35" t="str">
        <f>IF(Source!AE12&lt;&gt;"", Source!AE12," ")</f>
        <v xml:space="preserve"> </v>
      </c>
      <c r="D842" s="35"/>
      <c r="E842" s="35"/>
      <c r="F842" s="35"/>
      <c r="G842" s="35"/>
      <c r="H842" s="10" t="str">
        <f>IF(Source!AD12&lt;&gt;"", Source!AD12," ")</f>
        <v xml:space="preserve"> </v>
      </c>
      <c r="I842" s="10"/>
      <c r="J842" s="10"/>
      <c r="K842" s="10"/>
    </row>
    <row r="843" spans="1:11" ht="14.25" x14ac:dyDescent="0.2">
      <c r="A843" s="10"/>
      <c r="B843" s="10"/>
      <c r="C843" s="71" t="s">
        <v>723</v>
      </c>
      <c r="D843" s="71"/>
      <c r="E843" s="71"/>
      <c r="F843" s="71"/>
      <c r="G843" s="71"/>
      <c r="H843" s="10"/>
      <c r="I843" s="10"/>
      <c r="J843" s="10"/>
      <c r="K843" s="10"/>
    </row>
  </sheetData>
  <mergeCells count="191">
    <mergeCell ref="A839:B839"/>
    <mergeCell ref="C840:G840"/>
    <mergeCell ref="A842:B842"/>
    <mergeCell ref="C843:G843"/>
    <mergeCell ref="C834:H834"/>
    <mergeCell ref="I834:J834"/>
    <mergeCell ref="C835:H835"/>
    <mergeCell ref="I835:J835"/>
    <mergeCell ref="C836:H836"/>
    <mergeCell ref="I836:J836"/>
    <mergeCell ref="I827:J827"/>
    <mergeCell ref="A827:H827"/>
    <mergeCell ref="I830:J830"/>
    <mergeCell ref="A830:H830"/>
    <mergeCell ref="I833:J833"/>
    <mergeCell ref="A833:H833"/>
    <mergeCell ref="I809:J809"/>
    <mergeCell ref="A809:H809"/>
    <mergeCell ref="A812:K812"/>
    <mergeCell ref="I817:J817"/>
    <mergeCell ref="I821:J821"/>
    <mergeCell ref="I825:J825"/>
    <mergeCell ref="A773:K773"/>
    <mergeCell ref="A775:K775"/>
    <mergeCell ref="I782:J782"/>
    <mergeCell ref="I793:J793"/>
    <mergeCell ref="I804:J804"/>
    <mergeCell ref="I806:J806"/>
    <mergeCell ref="A806:H806"/>
    <mergeCell ref="I754:J754"/>
    <mergeCell ref="I765:J765"/>
    <mergeCell ref="I767:J767"/>
    <mergeCell ref="A767:H767"/>
    <mergeCell ref="I770:J770"/>
    <mergeCell ref="A770:H770"/>
    <mergeCell ref="I718:J718"/>
    <mergeCell ref="I727:J727"/>
    <mergeCell ref="I729:J729"/>
    <mergeCell ref="A729:H729"/>
    <mergeCell ref="A732:K732"/>
    <mergeCell ref="I743:J743"/>
    <mergeCell ref="A692:K692"/>
    <mergeCell ref="I694:J694"/>
    <mergeCell ref="A694:H694"/>
    <mergeCell ref="A697:K697"/>
    <mergeCell ref="A699:K699"/>
    <mergeCell ref="I709:J709"/>
    <mergeCell ref="I673:J673"/>
    <mergeCell ref="I684:J684"/>
    <mergeCell ref="I686:J686"/>
    <mergeCell ref="A686:H686"/>
    <mergeCell ref="I689:J689"/>
    <mergeCell ref="A689:H689"/>
    <mergeCell ref="A644:H644"/>
    <mergeCell ref="I647:J647"/>
    <mergeCell ref="A647:H647"/>
    <mergeCell ref="A650:K650"/>
    <mergeCell ref="A652:K652"/>
    <mergeCell ref="I662:J662"/>
    <mergeCell ref="I607:J607"/>
    <mergeCell ref="I618:J618"/>
    <mergeCell ref="I624:J624"/>
    <mergeCell ref="I634:J634"/>
    <mergeCell ref="I641:J641"/>
    <mergeCell ref="I644:J644"/>
    <mergeCell ref="I561:J561"/>
    <mergeCell ref="A561:H561"/>
    <mergeCell ref="A564:K564"/>
    <mergeCell ref="I577:J577"/>
    <mergeCell ref="I589:J589"/>
    <mergeCell ref="I599:J599"/>
    <mergeCell ref="A542:H542"/>
    <mergeCell ref="I545:J545"/>
    <mergeCell ref="A545:H545"/>
    <mergeCell ref="A548:K548"/>
    <mergeCell ref="A550:K550"/>
    <mergeCell ref="I559:J559"/>
    <mergeCell ref="I500:J500"/>
    <mergeCell ref="I508:J508"/>
    <mergeCell ref="I518:J518"/>
    <mergeCell ref="I529:J529"/>
    <mergeCell ref="I540:J540"/>
    <mergeCell ref="I542:J542"/>
    <mergeCell ref="I468:J468"/>
    <mergeCell ref="A468:H468"/>
    <mergeCell ref="A471:K471"/>
    <mergeCell ref="A473:K473"/>
    <mergeCell ref="I480:J480"/>
    <mergeCell ref="I490:J490"/>
    <mergeCell ref="A430:K430"/>
    <mergeCell ref="I441:J441"/>
    <mergeCell ref="I452:J452"/>
    <mergeCell ref="I463:J463"/>
    <mergeCell ref="I465:J465"/>
    <mergeCell ref="A465:H465"/>
    <mergeCell ref="A387:K387"/>
    <mergeCell ref="I397:J397"/>
    <mergeCell ref="I406:J406"/>
    <mergeCell ref="I415:J415"/>
    <mergeCell ref="I425:J425"/>
    <mergeCell ref="I427:J427"/>
    <mergeCell ref="A427:H427"/>
    <mergeCell ref="I377:J377"/>
    <mergeCell ref="I379:J379"/>
    <mergeCell ref="A379:H379"/>
    <mergeCell ref="I382:J382"/>
    <mergeCell ref="A382:H382"/>
    <mergeCell ref="A385:K385"/>
    <mergeCell ref="I296:J296"/>
    <mergeCell ref="I304:J304"/>
    <mergeCell ref="I314:J314"/>
    <mergeCell ref="I325:J325"/>
    <mergeCell ref="I336:J336"/>
    <mergeCell ref="I347:J347"/>
    <mergeCell ref="I263:J263"/>
    <mergeCell ref="I266:J266"/>
    <mergeCell ref="A266:H266"/>
    <mergeCell ref="A269:K269"/>
    <mergeCell ref="I276:J276"/>
    <mergeCell ref="I286:J286"/>
    <mergeCell ref="I246:J246"/>
    <mergeCell ref="A246:H246"/>
    <mergeCell ref="I249:J249"/>
    <mergeCell ref="A249:H249"/>
    <mergeCell ref="A252:K252"/>
    <mergeCell ref="A254:K254"/>
    <mergeCell ref="I194:J194"/>
    <mergeCell ref="I204:J204"/>
    <mergeCell ref="I214:J214"/>
    <mergeCell ref="I222:J222"/>
    <mergeCell ref="I233:J233"/>
    <mergeCell ref="I244:J244"/>
    <mergeCell ref="I134:J134"/>
    <mergeCell ref="I145:J145"/>
    <mergeCell ref="I156:J156"/>
    <mergeCell ref="I167:J167"/>
    <mergeCell ref="I174:J174"/>
    <mergeCell ref="I182:J182"/>
    <mergeCell ref="A86:H86"/>
    <mergeCell ref="A89:K89"/>
    <mergeCell ref="I96:J96"/>
    <mergeCell ref="I106:J106"/>
    <mergeCell ref="I116:J116"/>
    <mergeCell ref="I124:J124"/>
    <mergeCell ref="I53:J53"/>
    <mergeCell ref="I62:J62"/>
    <mergeCell ref="I70:J70"/>
    <mergeCell ref="I77:J77"/>
    <mergeCell ref="I84:J84"/>
    <mergeCell ref="I86:J86"/>
    <mergeCell ref="I27:I29"/>
    <mergeCell ref="J27:J29"/>
    <mergeCell ref="A32:K32"/>
    <mergeCell ref="A34:K34"/>
    <mergeCell ref="A36:K36"/>
    <mergeCell ref="I46:J46"/>
    <mergeCell ref="F25:H25"/>
    <mergeCell ref="I25:J25"/>
    <mergeCell ref="A27:A29"/>
    <mergeCell ref="B27:B29"/>
    <mergeCell ref="C27:C29"/>
    <mergeCell ref="D27:D29"/>
    <mergeCell ref="E27:E29"/>
    <mergeCell ref="F27:F29"/>
    <mergeCell ref="G27:G29"/>
    <mergeCell ref="H27:H29"/>
    <mergeCell ref="F22:H22"/>
    <mergeCell ref="I22:J22"/>
    <mergeCell ref="F23:H23"/>
    <mergeCell ref="I23:J23"/>
    <mergeCell ref="F24:H24"/>
    <mergeCell ref="I24:J24"/>
    <mergeCell ref="A15:K15"/>
    <mergeCell ref="A16:K16"/>
    <mergeCell ref="A18:K18"/>
    <mergeCell ref="F20:H20"/>
    <mergeCell ref="I20:J20"/>
    <mergeCell ref="F21:H21"/>
    <mergeCell ref="I21:J21"/>
    <mergeCell ref="B7:E7"/>
    <mergeCell ref="G7:K7"/>
    <mergeCell ref="J2:K2"/>
    <mergeCell ref="A10:K10"/>
    <mergeCell ref="A11:K11"/>
    <mergeCell ref="A13:K13"/>
    <mergeCell ref="B3:E3"/>
    <mergeCell ref="G3:K3"/>
    <mergeCell ref="B4:E4"/>
    <mergeCell ref="G4:K4"/>
    <mergeCell ref="B6:E6"/>
    <mergeCell ref="G6:K6"/>
  </mergeCells>
  <pageMargins left="0.4" right="0.2" top="0.2" bottom="0.4" header="0.2" footer="0.2"/>
  <pageSetup paperSize="9" scale="65" fitToHeight="0" orientation="portrait" r:id="rId1"/>
  <headerFooter>
    <oddHeader>&amp;L&amp;8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45"/>
  <sheetViews>
    <sheetView zoomScaleNormal="100" workbookViewId="0"/>
  </sheetViews>
  <sheetFormatPr defaultRowHeight="12.75" x14ac:dyDescent="0.2"/>
  <cols>
    <col min="1" max="1" width="6.7109375" customWidth="1"/>
    <col min="2" max="2" width="75.7109375" customWidth="1"/>
    <col min="3" max="5" width="15.7109375" customWidth="1"/>
    <col min="30" max="30" width="114.7109375" hidden="1" customWidth="1"/>
    <col min="31" max="31" width="0" hidden="1" customWidth="1"/>
  </cols>
  <sheetData>
    <row r="1" spans="1:30" x14ac:dyDescent="0.2">
      <c r="A1" s="8" t="str">
        <f>Source!B1</f>
        <v>Smeta.RU Flash  (495) 974-1589</v>
      </c>
    </row>
    <row r="2" spans="1:30" ht="14.25" x14ac:dyDescent="0.2">
      <c r="C2" s="10"/>
      <c r="D2" s="10"/>
    </row>
    <row r="3" spans="1:30" ht="15" x14ac:dyDescent="0.25">
      <c r="C3" s="10"/>
      <c r="D3" s="29" t="s">
        <v>659</v>
      </c>
    </row>
    <row r="4" spans="1:30" ht="15" x14ac:dyDescent="0.25">
      <c r="C4" s="29"/>
      <c r="D4" s="29"/>
    </row>
    <row r="5" spans="1:30" ht="15" x14ac:dyDescent="0.25">
      <c r="C5" s="73" t="s">
        <v>725</v>
      </c>
      <c r="D5" s="73"/>
    </row>
    <row r="6" spans="1:30" ht="15" x14ac:dyDescent="0.25">
      <c r="C6" s="36"/>
      <c r="D6" s="36"/>
    </row>
    <row r="7" spans="1:30" ht="15" x14ac:dyDescent="0.25">
      <c r="C7" s="73" t="s">
        <v>725</v>
      </c>
      <c r="D7" s="73"/>
    </row>
    <row r="8" spans="1:30" ht="15" x14ac:dyDescent="0.25">
      <c r="C8" s="36"/>
      <c r="D8" s="36"/>
    </row>
    <row r="9" spans="1:30" ht="15" x14ac:dyDescent="0.25">
      <c r="C9" s="29" t="s">
        <v>726</v>
      </c>
      <c r="D9" s="10"/>
    </row>
    <row r="10" spans="1:30" ht="14.25" x14ac:dyDescent="0.2">
      <c r="A10" s="10"/>
      <c r="B10" s="10"/>
      <c r="C10" s="10"/>
      <c r="D10" s="10"/>
      <c r="E10" s="10"/>
    </row>
    <row r="11" spans="1:30" ht="15.75" x14ac:dyDescent="0.25">
      <c r="A11" s="74" t="str">
        <f>CONCATENATE("Ведомость объемов работ ", IF(Source!AN15&lt;&gt;"", Source!AN15," "))</f>
        <v xml:space="preserve">Ведомость объемов работ  </v>
      </c>
      <c r="B11" s="74"/>
      <c r="C11" s="74"/>
      <c r="D11" s="74"/>
      <c r="E11" s="10"/>
    </row>
    <row r="12" spans="1:30" ht="30" x14ac:dyDescent="0.25">
      <c r="A12" s="75" t="str">
        <f>CONCATENATE("На капитальный ремонт ", Source!F12, " ", Source!G12)</f>
        <v>На капитальный ремонт  Выполнение работ по проведению ремонта прилегающей территории для нужд ГБОУ Школа № 630</v>
      </c>
      <c r="B12" s="75"/>
      <c r="C12" s="75"/>
      <c r="D12" s="75"/>
      <c r="E12" s="10"/>
      <c r="AD12" s="38" t="str">
        <f>CONCATENATE("На капитальный ремонт ", Source!F12, " ", Source!G12)</f>
        <v>На капитальный ремонт  Выполнение работ по проведению ремонта прилегающей территории для нужд ГБОУ Школа № 630</v>
      </c>
    </row>
    <row r="13" spans="1:30" ht="14.25" x14ac:dyDescent="0.2">
      <c r="A13" s="10"/>
      <c r="B13" s="10"/>
      <c r="C13" s="10"/>
      <c r="D13" s="10"/>
      <c r="E13" s="10"/>
    </row>
    <row r="14" spans="1:30" ht="28.5" x14ac:dyDescent="0.2">
      <c r="A14" s="19" t="s">
        <v>727</v>
      </c>
      <c r="B14" s="19" t="s">
        <v>671</v>
      </c>
      <c r="C14" s="19" t="s">
        <v>672</v>
      </c>
      <c r="D14" s="19" t="s">
        <v>728</v>
      </c>
      <c r="E14" s="37" t="s">
        <v>729</v>
      </c>
    </row>
    <row r="15" spans="1:30" ht="14.25" x14ac:dyDescent="0.2">
      <c r="A15" s="39">
        <v>1</v>
      </c>
      <c r="B15" s="39">
        <v>2</v>
      </c>
      <c r="C15" s="39">
        <v>3</v>
      </c>
      <c r="D15" s="39">
        <v>4</v>
      </c>
      <c r="E15" s="40">
        <v>5</v>
      </c>
    </row>
    <row r="16" spans="1:30" ht="16.5" x14ac:dyDescent="0.25">
      <c r="A16" s="72" t="str">
        <f>CONCATENATE("Локальная смета: ", Source!G20)</f>
        <v>Локальная смета: Новая локальная смета</v>
      </c>
      <c r="B16" s="72"/>
      <c r="C16" s="72"/>
      <c r="D16" s="72"/>
      <c r="E16" s="72"/>
    </row>
    <row r="17" spans="1:5" ht="16.5" x14ac:dyDescent="0.25">
      <c r="A17" s="72" t="str">
        <f>CONCATENATE("Раздел: ", Source!G24)</f>
        <v>Раздел: Веранды</v>
      </c>
      <c r="B17" s="72"/>
      <c r="C17" s="72"/>
      <c r="D17" s="72"/>
      <c r="E17" s="72"/>
    </row>
    <row r="18" spans="1:5" ht="16.5" x14ac:dyDescent="0.25">
      <c r="A18" s="72" t="str">
        <f>CONCATENATE("Подраздел: ", Source!G28)</f>
        <v>Подраздел: Демонтажные работы</v>
      </c>
      <c r="B18" s="72"/>
      <c r="C18" s="72"/>
      <c r="D18" s="72"/>
      <c r="E18" s="72"/>
    </row>
    <row r="19" spans="1:5" ht="28.5" x14ac:dyDescent="0.2">
      <c r="A19" s="45" t="str">
        <f>Source!E32</f>
        <v>1</v>
      </c>
      <c r="B19" s="46" t="str">
        <f>Source!G32</f>
        <v>Монтаж кровельного покрытия из профилированного листа при высоте здания до 25 м</v>
      </c>
      <c r="C19" s="47" t="str">
        <f>Source!H32</f>
        <v>100 м2</v>
      </c>
      <c r="D19" s="48">
        <f>Source!I32</f>
        <v>1.2</v>
      </c>
      <c r="E19" s="46"/>
    </row>
    <row r="20" spans="1:5" ht="28.5" x14ac:dyDescent="0.2">
      <c r="A20" s="45" t="str">
        <f>Source!E33</f>
        <v>2</v>
      </c>
      <c r="B20" s="46" t="str">
        <f>Source!G33</f>
        <v>Разборка конструктивных элементов крыши, обрешетки из брусков и досок с прозорами</v>
      </c>
      <c r="C20" s="47" t="str">
        <f>Source!H33</f>
        <v>10 м2</v>
      </c>
      <c r="D20" s="48">
        <f>Source!I33</f>
        <v>12</v>
      </c>
      <c r="E20" s="46"/>
    </row>
    <row r="21" spans="1:5" ht="14.25" x14ac:dyDescent="0.2">
      <c r="A21" s="45" t="str">
        <f>Source!E34</f>
        <v>3</v>
      </c>
      <c r="B21" s="46" t="str">
        <f>Source!G34</f>
        <v>Разборка монолитных бетонных перегородок</v>
      </c>
      <c r="C21" s="47" t="str">
        <f>Source!H34</f>
        <v>м3</v>
      </c>
      <c r="D21" s="48">
        <f>Source!I34</f>
        <v>17.34</v>
      </c>
      <c r="E21" s="46"/>
    </row>
    <row r="22" spans="1:5" ht="14.25" x14ac:dyDescent="0.2">
      <c r="A22" s="45" t="str">
        <f>Source!E36</f>
        <v>4</v>
      </c>
      <c r="B22" s="46" t="str">
        <f>Source!G36</f>
        <v>Разборка дощатых покрытий</v>
      </c>
      <c r="C22" s="47" t="str">
        <f>Source!H36</f>
        <v>100 м2</v>
      </c>
      <c r="D22" s="48">
        <f>Source!I36</f>
        <v>0.81599999999999995</v>
      </c>
      <c r="E22" s="46"/>
    </row>
    <row r="23" spans="1:5" ht="14.25" x14ac:dyDescent="0.2">
      <c r="A23" s="45" t="str">
        <f>Source!E37</f>
        <v>5</v>
      </c>
      <c r="B23" s="46" t="str">
        <f>Source!G37</f>
        <v>Разборка лаг из досок и брусков</v>
      </c>
      <c r="C23" s="47" t="str">
        <f>Source!H37</f>
        <v>100 м2</v>
      </c>
      <c r="D23" s="48">
        <f>Source!I37</f>
        <v>0.81599999999999995</v>
      </c>
      <c r="E23" s="46"/>
    </row>
    <row r="24" spans="1:5" ht="28.5" x14ac:dyDescent="0.2">
      <c r="A24" s="45" t="str">
        <f>Source!E38</f>
        <v>6</v>
      </c>
      <c r="B24" s="46" t="str">
        <f>Source!G38</f>
        <v>Разборка деревянных перегородок каркасных, обшитых досками, неоштукатуренных</v>
      </c>
      <c r="C24" s="47" t="str">
        <f>Source!H38</f>
        <v>100 м2</v>
      </c>
      <c r="D24" s="48">
        <f>Source!I38</f>
        <v>0.41899999999999998</v>
      </c>
      <c r="E24" s="46"/>
    </row>
    <row r="25" spans="1:5" ht="16.5" x14ac:dyDescent="0.25">
      <c r="A25" s="72" t="str">
        <f>CONCATENATE("Подраздел: ", Source!G70)</f>
        <v>Подраздел: Строительные работы</v>
      </c>
      <c r="B25" s="72"/>
      <c r="C25" s="72"/>
      <c r="D25" s="72"/>
      <c r="E25" s="72"/>
    </row>
    <row r="26" spans="1:5" ht="28.5" x14ac:dyDescent="0.2">
      <c r="A26" s="45" t="str">
        <f>Source!E74</f>
        <v>7</v>
      </c>
      <c r="B26" s="46" t="str">
        <f>Source!G74</f>
        <v>Разработка грунта вручную в траншеях глубиной до 2 м без креплений с откосами группа грунтов 1-3</v>
      </c>
      <c r="C26" s="47" t="str">
        <f>Source!H74</f>
        <v>100 м3</v>
      </c>
      <c r="D26" s="48">
        <f>Source!I74</f>
        <v>0.24</v>
      </c>
      <c r="E26" s="46"/>
    </row>
    <row r="27" spans="1:5" ht="14.25" x14ac:dyDescent="0.2">
      <c r="A27" s="45" t="str">
        <f>Source!E75</f>
        <v>8</v>
      </c>
      <c r="B27" s="46" t="str">
        <f>Source!G75</f>
        <v>Уплотнение грунта пневматическими трамбовками, группа грунтов 1, 2</v>
      </c>
      <c r="C27" s="47" t="str">
        <f>Source!H75</f>
        <v>100 м3</v>
      </c>
      <c r="D27" s="48">
        <f>Source!I75</f>
        <v>0.24</v>
      </c>
      <c r="E27" s="46"/>
    </row>
    <row r="28" spans="1:5" ht="14.25" x14ac:dyDescent="0.2">
      <c r="A28" s="45" t="str">
        <f>Source!E76</f>
        <v>9</v>
      </c>
      <c r="B28" s="46" t="str">
        <f>Source!G76</f>
        <v>Устройство уплотняемых трамбовками подстилающих слоев песчаных</v>
      </c>
      <c r="C28" s="47" t="str">
        <f>Source!H76</f>
        <v>м3</v>
      </c>
      <c r="D28" s="48">
        <f>Source!I76</f>
        <v>19.2</v>
      </c>
      <c r="E28" s="46"/>
    </row>
    <row r="29" spans="1:5" ht="14.25" x14ac:dyDescent="0.2">
      <c r="A29" s="45" t="str">
        <f>Source!E77</f>
        <v>10</v>
      </c>
      <c r="B29" s="46" t="str">
        <f>Source!G77</f>
        <v>Устройство бетонного поребрика на бетонном основании</v>
      </c>
      <c r="C29" s="47" t="str">
        <f>Source!H77</f>
        <v>м</v>
      </c>
      <c r="D29" s="48">
        <f>Source!I77</f>
        <v>56</v>
      </c>
      <c r="E29" s="46"/>
    </row>
    <row r="30" spans="1:5" ht="14.25" x14ac:dyDescent="0.2">
      <c r="A30" s="45" t="str">
        <f>Source!E78</f>
        <v>10,1</v>
      </c>
      <c r="B30" s="46" t="str">
        <f>Source!G78</f>
        <v>Камни бетонные бортовые, марка БР60.20.8</v>
      </c>
      <c r="C30" s="47" t="str">
        <f>Source!H78</f>
        <v>м3</v>
      </c>
      <c r="D30" s="48">
        <f>Source!I78</f>
        <v>0.7</v>
      </c>
      <c r="E30" s="46"/>
    </row>
    <row r="31" spans="1:5" ht="28.5" x14ac:dyDescent="0.2">
      <c r="A31" s="45" t="str">
        <f>Source!E79</f>
        <v>11</v>
      </c>
      <c r="B31" s="46" t="str">
        <f>Source!G79</f>
        <v>Устройство уплотняемых трамбовками подстилающих слоев щебеночных</v>
      </c>
      <c r="C31" s="47" t="str">
        <f>Source!H79</f>
        <v>м3</v>
      </c>
      <c r="D31" s="48">
        <f>Source!I79</f>
        <v>14.4</v>
      </c>
      <c r="E31" s="46"/>
    </row>
    <row r="32" spans="1:5" ht="28.5" x14ac:dyDescent="0.2">
      <c r="A32" s="45" t="str">
        <f>Source!E80</f>
        <v>12</v>
      </c>
      <c r="B32" s="46" t="str">
        <f>Source!G80</f>
        <v>Устройство покрытий из асфальтобетонных горячих мелкозернистых смесей, марка II, тип В,  толщиной 25 мм</v>
      </c>
      <c r="C32" s="47" t="str">
        <f>Source!H80</f>
        <v>100 м2</v>
      </c>
      <c r="D32" s="48">
        <f>Source!I80</f>
        <v>0.96</v>
      </c>
      <c r="E32" s="46"/>
    </row>
    <row r="33" spans="1:5" ht="14.25" x14ac:dyDescent="0.2">
      <c r="A33" s="45" t="str">
        <f>Source!E81</f>
        <v>13</v>
      </c>
      <c r="B33" s="46" t="str">
        <f>Source!G81</f>
        <v>Добавлять или исключать на 5 мм изменения толщины к поз.10-3303-2-3</v>
      </c>
      <c r="C33" s="47" t="str">
        <f>Source!H81</f>
        <v>100 м2</v>
      </c>
      <c r="D33" s="48">
        <f>Source!I81</f>
        <v>0.96</v>
      </c>
      <c r="E33" s="46"/>
    </row>
    <row r="34" spans="1:5" ht="28.5" x14ac:dyDescent="0.2">
      <c r="A34" s="45" t="str">
        <f>Source!E82</f>
        <v>14</v>
      </c>
      <c r="B34" s="46" t="str">
        <f>Source!G82</f>
        <v>Устройство наливного полиуретанового покрытия спортивных площадок и беговых дорожек толщиной 10 мм</v>
      </c>
      <c r="C34" s="47" t="str">
        <f>Source!H82</f>
        <v>100 м2</v>
      </c>
      <c r="D34" s="48">
        <f>Source!I82</f>
        <v>0.96</v>
      </c>
      <c r="E34" s="46"/>
    </row>
    <row r="35" spans="1:5" ht="14.25" x14ac:dyDescent="0.2">
      <c r="A35" s="45" t="str">
        <f>Source!E83</f>
        <v>15</v>
      </c>
      <c r="B35" s="46" t="str">
        <f>Source!G83</f>
        <v>Рытье ям для установки стоек и столбов глубина 0,7 м</v>
      </c>
      <c r="C35" s="47" t="str">
        <f>Source!H83</f>
        <v>100 ям</v>
      </c>
      <c r="D35" s="48">
        <f>Source!I83</f>
        <v>2.3999999999999998E-3</v>
      </c>
      <c r="E35" s="46"/>
    </row>
    <row r="36" spans="1:5" ht="14.25" x14ac:dyDescent="0.2">
      <c r="A36" s="45" t="str">
        <f>Source!E84</f>
        <v>16</v>
      </c>
      <c r="B36" s="46" t="str">
        <f>Source!G84</f>
        <v>Устройство бетонной подготовки</v>
      </c>
      <c r="C36" s="47" t="str">
        <f>Source!H84</f>
        <v>100 м3</v>
      </c>
      <c r="D36" s="48">
        <f>Source!I84</f>
        <v>1.6000000000000001E-4</v>
      </c>
      <c r="E36" s="46"/>
    </row>
    <row r="37" spans="1:5" ht="14.25" x14ac:dyDescent="0.2">
      <c r="A37" s="45" t="str">
        <f>Source!E85</f>
        <v>17</v>
      </c>
      <c r="B37" s="46" t="str">
        <f>Source!G85</f>
        <v>Установка стальных конструкций, остающихся в теле бетона</v>
      </c>
      <c r="C37" s="47" t="str">
        <f>Source!H85</f>
        <v>т</v>
      </c>
      <c r="D37" s="48">
        <f>Source!I85</f>
        <v>0.67017000000000004</v>
      </c>
      <c r="E37" s="46"/>
    </row>
    <row r="38" spans="1:5" ht="71.25" x14ac:dyDescent="0.2">
      <c r="A38" s="45" t="str">
        <f>Source!E86</f>
        <v>17,1</v>
      </c>
      <c r="B38" s="46" t="str">
        <f>Source!G86</f>
        <v>Конструктивные эл-ты вспом.назн.,эл-ты крепл.подвес. потолков,трубопр.,воздухов.,закл.детали,детали крепл.стен.панелей,ворот,переплетов решеток,массой не более 50 кг, с преобл.проф.проката, с отверстиями собираемые из двух и более деталей</v>
      </c>
      <c r="C38" s="47" t="str">
        <f>Source!H86</f>
        <v>т</v>
      </c>
      <c r="D38" s="48">
        <f>Source!I86</f>
        <v>-0.67017000000000004</v>
      </c>
      <c r="E38" s="46"/>
    </row>
    <row r="39" spans="1:5" ht="28.5" x14ac:dyDescent="0.2">
      <c r="A39" s="45" t="str">
        <f>Source!E87</f>
        <v>17,2</v>
      </c>
      <c r="B39" s="46" t="str">
        <f>Source!G87</f>
        <v>Профили стальные электросварные квадратного сечения трубчатые, размер стороны 80 мм, толщина стенки 3-6 мм</v>
      </c>
      <c r="C39" s="47" t="str">
        <f>Source!H87</f>
        <v>т</v>
      </c>
      <c r="D39" s="48">
        <f>Source!I87</f>
        <v>0.67017000000000004</v>
      </c>
      <c r="E39" s="46"/>
    </row>
    <row r="40" spans="1:5" ht="28.5" x14ac:dyDescent="0.2">
      <c r="A40" s="45" t="str">
        <f>Source!E88</f>
        <v>18</v>
      </c>
      <c r="B40" s="46" t="str">
        <f>Source!G88</f>
        <v>Изготовление мелких индивидуальных конструкций (стремянок, связей, кронштейнов, тормозных конструкций и пр.)</v>
      </c>
      <c r="C40" s="47" t="str">
        <f>Source!H88</f>
        <v>т</v>
      </c>
      <c r="D40" s="48">
        <f>Source!I88</f>
        <v>1.11307</v>
      </c>
      <c r="E40" s="46"/>
    </row>
    <row r="41" spans="1:5" ht="28.5" x14ac:dyDescent="0.2">
      <c r="A41" s="45" t="str">
        <f>Source!E89</f>
        <v>19</v>
      </c>
      <c r="B41" s="46" t="str">
        <f>Source!G89</f>
        <v>Монтаж мелких конструкций из стали различного профиля массой до 100 кг</v>
      </c>
      <c r="C41" s="47" t="str">
        <f>Source!H89</f>
        <v>т</v>
      </c>
      <c r="D41" s="48">
        <f>Source!I89</f>
        <v>1.11307</v>
      </c>
      <c r="E41" s="46"/>
    </row>
    <row r="42" spans="1:5" ht="28.5" x14ac:dyDescent="0.2">
      <c r="A42" s="45" t="str">
        <f>Source!E90</f>
        <v>20</v>
      </c>
      <c r="B42" s="46" t="str">
        <f>Source!G90</f>
        <v>Масляная окраска белилами с добавлением колера металлических решеток, переплетов, труб, диаметром менее 50 мм и т.п. за два раза</v>
      </c>
      <c r="C42" s="47" t="str">
        <f>Source!H90</f>
        <v>100 м2</v>
      </c>
      <c r="D42" s="48">
        <f>Source!I90</f>
        <v>0.9</v>
      </c>
      <c r="E42" s="46"/>
    </row>
    <row r="43" spans="1:5" ht="42.75" x14ac:dyDescent="0.2">
      <c r="A43" s="45" t="str">
        <f>Source!E91</f>
        <v>21</v>
      </c>
      <c r="B43" s="46" t="str">
        <f>Source!G91</f>
        <v>Облицовка поликарбонатом ячеистым толщиной 10 мм металлических конструкций с креплением через соединительные профили, поверхность вертикальная</v>
      </c>
      <c r="C43" s="47" t="str">
        <f>Source!H91</f>
        <v>100 м2</v>
      </c>
      <c r="D43" s="48">
        <f>Source!I91</f>
        <v>1.4244000000000001</v>
      </c>
      <c r="E43" s="46"/>
    </row>
    <row r="44" spans="1:5" ht="28.5" x14ac:dyDescent="0.2">
      <c r="A44" s="45" t="str">
        <f>Source!E92</f>
        <v>22</v>
      </c>
      <c r="B44" s="46" t="str">
        <f>Source!G92</f>
        <v>Монтаж кровельного покрытия из профилированного листа при высоте здания до 25 м</v>
      </c>
      <c r="C44" s="47" t="str">
        <f>Source!H92</f>
        <v>100 м2</v>
      </c>
      <c r="D44" s="48">
        <f>Source!I92</f>
        <v>1.2</v>
      </c>
      <c r="E44" s="46"/>
    </row>
    <row r="45" spans="1:5" ht="16.5" x14ac:dyDescent="0.25">
      <c r="A45" s="72" t="str">
        <f>CONCATENATE("Раздел: ", Source!G154)</f>
        <v>Раздел: Игровые и спортивные площадки</v>
      </c>
      <c r="B45" s="72"/>
      <c r="C45" s="72"/>
      <c r="D45" s="72"/>
      <c r="E45" s="72"/>
    </row>
    <row r="46" spans="1:5" ht="16.5" x14ac:dyDescent="0.25">
      <c r="A46" s="72" t="str">
        <f>CONCATENATE("Подраздел: ", Source!G158)</f>
        <v>Подраздел: Демонтажные работы</v>
      </c>
      <c r="B46" s="72"/>
      <c r="C46" s="72"/>
      <c r="D46" s="72"/>
      <c r="E46" s="72"/>
    </row>
    <row r="47" spans="1:5" ht="28.5" x14ac:dyDescent="0.2">
      <c r="A47" s="45" t="str">
        <f>Source!E162</f>
        <v>23</v>
      </c>
      <c r="B47" s="46" t="str">
        <f>Source!G162</f>
        <v>Монтаж мелких конструкций из стали различного профиля массой до 100 кг</v>
      </c>
      <c r="C47" s="47" t="str">
        <f>Source!H162</f>
        <v>т</v>
      </c>
      <c r="D47" s="48">
        <f>Source!I162</f>
        <v>2.2000000000000002</v>
      </c>
      <c r="E47" s="46"/>
    </row>
    <row r="48" spans="1:5" ht="16.5" x14ac:dyDescent="0.25">
      <c r="A48" s="72" t="str">
        <f>CONCATENATE("Подраздел: ", Source!G195)</f>
        <v>Подраздел: Строительные работы</v>
      </c>
      <c r="B48" s="72"/>
      <c r="C48" s="72"/>
      <c r="D48" s="72"/>
      <c r="E48" s="72"/>
    </row>
    <row r="49" spans="1:5" ht="28.5" x14ac:dyDescent="0.2">
      <c r="A49" s="45" t="str">
        <f>Source!E199</f>
        <v>24</v>
      </c>
      <c r="B49" s="46" t="str">
        <f>Source!G199</f>
        <v>Разработка грунта вручную в траншеях глубиной до 2 м без креплений с откосами группа грунтов 1-3</v>
      </c>
      <c r="C49" s="47" t="str">
        <f>Source!H199</f>
        <v>100 м3</v>
      </c>
      <c r="D49" s="48">
        <f>Source!I199</f>
        <v>0.75749999999999995</v>
      </c>
      <c r="E49" s="46"/>
    </row>
    <row r="50" spans="1:5" ht="14.25" x14ac:dyDescent="0.2">
      <c r="A50" s="45" t="str">
        <f>Source!E200</f>
        <v>25</v>
      </c>
      <c r="B50" s="46" t="str">
        <f>Source!G200</f>
        <v>Уплотнение грунта пневматическими трамбовками, группа грунтов 1, 2</v>
      </c>
      <c r="C50" s="47" t="str">
        <f>Source!H200</f>
        <v>100 м3</v>
      </c>
      <c r="D50" s="48">
        <f>Source!I200</f>
        <v>0.75749999999999995</v>
      </c>
      <c r="E50" s="46"/>
    </row>
    <row r="51" spans="1:5" ht="14.25" x14ac:dyDescent="0.2">
      <c r="A51" s="45" t="str">
        <f>Source!E201</f>
        <v>26</v>
      </c>
      <c r="B51" s="46" t="str">
        <f>Source!G201</f>
        <v>Устройство уплотняемых трамбовками подстилающих слоев песчаных</v>
      </c>
      <c r="C51" s="47" t="str">
        <f>Source!H201</f>
        <v>м3</v>
      </c>
      <c r="D51" s="48">
        <f>Source!I201</f>
        <v>60.6</v>
      </c>
      <c r="E51" s="46"/>
    </row>
    <row r="52" spans="1:5" ht="14.25" x14ac:dyDescent="0.2">
      <c r="A52" s="45" t="str">
        <f>Source!E202</f>
        <v>27</v>
      </c>
      <c r="B52" s="46" t="str">
        <f>Source!G202</f>
        <v>Устройство бетонного поребрика на бетонном основании</v>
      </c>
      <c r="C52" s="47" t="str">
        <f>Source!H202</f>
        <v>м</v>
      </c>
      <c r="D52" s="48">
        <f>Source!I202</f>
        <v>163</v>
      </c>
      <c r="E52" s="46"/>
    </row>
    <row r="53" spans="1:5" ht="14.25" x14ac:dyDescent="0.2">
      <c r="A53" s="45" t="str">
        <f>Source!E203</f>
        <v>27,1</v>
      </c>
      <c r="B53" s="46" t="str">
        <f>Source!G203</f>
        <v>Камни бетонные бортовые, марка БР60.20.8</v>
      </c>
      <c r="C53" s="47" t="str">
        <f>Source!H203</f>
        <v>м3</v>
      </c>
      <c r="D53" s="48">
        <f>Source!I203</f>
        <v>1.6300000000000001</v>
      </c>
      <c r="E53" s="46"/>
    </row>
    <row r="54" spans="1:5" ht="28.5" x14ac:dyDescent="0.2">
      <c r="A54" s="45" t="str">
        <f>Source!E204</f>
        <v>28</v>
      </c>
      <c r="B54" s="46" t="str">
        <f>Source!G204</f>
        <v>Устройство уплотняемых трамбовками подстилающих слоев щебеночных</v>
      </c>
      <c r="C54" s="47" t="str">
        <f>Source!H204</f>
        <v>м3</v>
      </c>
      <c r="D54" s="48">
        <f>Source!I204</f>
        <v>45.45</v>
      </c>
      <c r="E54" s="46"/>
    </row>
    <row r="55" spans="1:5" ht="28.5" x14ac:dyDescent="0.2">
      <c r="A55" s="45" t="str">
        <f>Source!E205</f>
        <v>29</v>
      </c>
      <c r="B55" s="46" t="str">
        <f>Source!G205</f>
        <v>Устройство покрытий из асфальтобетонных горячих мелкозернистых смесей, марка II, тип В,  толщиной 25 мм</v>
      </c>
      <c r="C55" s="47" t="str">
        <f>Source!H205</f>
        <v>100 м2</v>
      </c>
      <c r="D55" s="48">
        <f>Source!I205</f>
        <v>3.03</v>
      </c>
      <c r="E55" s="46"/>
    </row>
    <row r="56" spans="1:5" ht="14.25" x14ac:dyDescent="0.2">
      <c r="A56" s="45" t="str">
        <f>Source!E206</f>
        <v>30</v>
      </c>
      <c r="B56" s="46" t="str">
        <f>Source!G206</f>
        <v>Добавлять или исключать на 5 мм изменения толщины к поз.10-3303-2-3</v>
      </c>
      <c r="C56" s="47" t="str">
        <f>Source!H206</f>
        <v>100 м2</v>
      </c>
      <c r="D56" s="48">
        <f>Source!I206</f>
        <v>3.03</v>
      </c>
      <c r="E56" s="46"/>
    </row>
    <row r="57" spans="1:5" ht="28.5" x14ac:dyDescent="0.2">
      <c r="A57" s="45" t="str">
        <f>Source!E207</f>
        <v>31</v>
      </c>
      <c r="B57" s="46" t="str">
        <f>Source!G207</f>
        <v>Устройство наливного полиуретанового покрытия спортивных площадок и беговых дорожек толщиной 10 мм</v>
      </c>
      <c r="C57" s="47" t="str">
        <f>Source!H207</f>
        <v>100 м2</v>
      </c>
      <c r="D57" s="48">
        <f>Source!I207</f>
        <v>3.03</v>
      </c>
      <c r="E57" s="46"/>
    </row>
    <row r="58" spans="1:5" ht="28.5" x14ac:dyDescent="0.2">
      <c r="A58" s="45" t="str">
        <f>Source!E208</f>
        <v>32</v>
      </c>
      <c r="B58" s="46" t="str">
        <f>Source!G208</f>
        <v>Монтаж мелких конструкций из стали различного профиля массой до 100 кг</v>
      </c>
      <c r="C58" s="47" t="str">
        <f>Source!H208</f>
        <v>т</v>
      </c>
      <c r="D58" s="48">
        <f>Source!I208</f>
        <v>2.6</v>
      </c>
      <c r="E58" s="46"/>
    </row>
    <row r="59" spans="1:5" ht="14.25" x14ac:dyDescent="0.2">
      <c r="A59" s="45" t="str">
        <f>Source!E209</f>
        <v>32,1</v>
      </c>
      <c r="B59" s="46" t="str">
        <f>Source!G209</f>
        <v>1500-3 Песочница 1,5х1,5х0,65 м</v>
      </c>
      <c r="C59" s="47" t="str">
        <f>Source!H209</f>
        <v>шт.</v>
      </c>
      <c r="D59" s="48">
        <f>Source!I209</f>
        <v>4</v>
      </c>
      <c r="E59" s="46"/>
    </row>
    <row r="60" spans="1:5" ht="14.25" x14ac:dyDescent="0.2">
      <c r="A60" s="45" t="str">
        <f>Source!E210</f>
        <v>32,2</v>
      </c>
      <c r="B60" s="46" t="str">
        <f>Source!G210</f>
        <v>4404 Паровозик Тип 4</v>
      </c>
      <c r="C60" s="47" t="str">
        <f>Source!H210</f>
        <v>шт.</v>
      </c>
      <c r="D60" s="48">
        <f>Source!I210</f>
        <v>1</v>
      </c>
      <c r="E60" s="46"/>
    </row>
    <row r="61" spans="1:5" ht="14.25" x14ac:dyDescent="0.2">
      <c r="A61" s="45" t="str">
        <f>Source!E211</f>
        <v>32,3</v>
      </c>
      <c r="B61" s="46" t="str">
        <f>Source!G211</f>
        <v>4702 Игровая панель Часы 0,9х1,0 м</v>
      </c>
      <c r="C61" s="47" t="str">
        <f>Source!H211</f>
        <v>шт.</v>
      </c>
      <c r="D61" s="48">
        <f>Source!I211</f>
        <v>1</v>
      </c>
      <c r="E61" s="46"/>
    </row>
    <row r="62" spans="1:5" ht="14.25" x14ac:dyDescent="0.2">
      <c r="A62" s="45" t="str">
        <f>Source!E212</f>
        <v>32,4</v>
      </c>
      <c r="B62" s="46" t="str">
        <f>Source!G212</f>
        <v>4704 Жираф с баскетбольным щитом 1,4х1,0х2,5 м</v>
      </c>
      <c r="C62" s="47" t="str">
        <f>Source!H212</f>
        <v>шт.</v>
      </c>
      <c r="D62" s="48">
        <f>Source!I212</f>
        <v>2</v>
      </c>
      <c r="E62" s="46"/>
    </row>
    <row r="63" spans="1:5" ht="14.25" x14ac:dyDescent="0.2">
      <c r="A63" s="45" t="str">
        <f>Source!E213</f>
        <v>32,5</v>
      </c>
      <c r="B63" s="46" t="str">
        <f>Source!G213</f>
        <v>1210-3 Качалка на пружине 0,84х0,5х0,95 м</v>
      </c>
      <c r="C63" s="47" t="str">
        <f>Source!H213</f>
        <v>шт.</v>
      </c>
      <c r="D63" s="48">
        <f>Source!I213</f>
        <v>1</v>
      </c>
      <c r="E63" s="46"/>
    </row>
    <row r="64" spans="1:5" ht="14.25" x14ac:dyDescent="0.2">
      <c r="A64" s="45" t="str">
        <f>Source!E214</f>
        <v>32,6</v>
      </c>
      <c r="B64" s="46" t="str">
        <f>Source!G214</f>
        <v>1210-4 Качалка на пружине 0,76х0,5х0,8 м</v>
      </c>
      <c r="C64" s="47" t="str">
        <f>Source!H214</f>
        <v>шт.</v>
      </c>
      <c r="D64" s="48">
        <f>Source!I214</f>
        <v>1</v>
      </c>
      <c r="E64" s="46"/>
    </row>
    <row r="65" spans="1:5" ht="14.25" x14ac:dyDescent="0.2">
      <c r="A65" s="45" t="str">
        <f>Source!E215</f>
        <v>32,7</v>
      </c>
      <c r="B65" s="46" t="str">
        <f>Source!G215</f>
        <v>1210-6 Качалка на пружине 0,75х0,51х0,96 м</v>
      </c>
      <c r="C65" s="47" t="str">
        <f>Source!H215</f>
        <v>шт.</v>
      </c>
      <c r="D65" s="48">
        <f>Source!I215</f>
        <v>1</v>
      </c>
      <c r="E65" s="46"/>
    </row>
    <row r="66" spans="1:5" ht="14.25" x14ac:dyDescent="0.2">
      <c r="A66" s="45" t="str">
        <f>Source!E216</f>
        <v>32,8</v>
      </c>
      <c r="B66" s="46" t="str">
        <f>Source!G216</f>
        <v>1240-2 Качалка на пружине 1,15х0,9х1,0</v>
      </c>
      <c r="C66" s="47" t="str">
        <f>Source!H216</f>
        <v>шт.</v>
      </c>
      <c r="D66" s="48">
        <f>Source!I216</f>
        <v>1</v>
      </c>
      <c r="E66" s="46"/>
    </row>
    <row r="67" spans="1:5" ht="14.25" x14ac:dyDescent="0.2">
      <c r="A67" s="45" t="str">
        <f>Source!E217</f>
        <v>32,9</v>
      </c>
      <c r="B67" s="46" t="str">
        <f>Source!G217</f>
        <v>1621 Лавочка Автомобиль 1,5х0,6х1,0 м</v>
      </c>
      <c r="C67" s="47" t="str">
        <f>Source!H217</f>
        <v>шт.</v>
      </c>
      <c r="D67" s="48">
        <f>Source!I217</f>
        <v>1</v>
      </c>
      <c r="E67" s="46"/>
    </row>
    <row r="68" spans="1:5" ht="14.25" x14ac:dyDescent="0.2">
      <c r="A68" s="45" t="str">
        <f>Source!E218</f>
        <v>32,10</v>
      </c>
      <c r="B68" s="46" t="str">
        <f>Source!G218</f>
        <v>1622 Лавочка Карета 1,5х0,6х1,0 м</v>
      </c>
      <c r="C68" s="47" t="str">
        <f>Source!H218</f>
        <v>шт.</v>
      </c>
      <c r="D68" s="48">
        <f>Source!I218</f>
        <v>1</v>
      </c>
      <c r="E68" s="46"/>
    </row>
    <row r="69" spans="1:5" ht="14.25" x14ac:dyDescent="0.2">
      <c r="A69" s="45" t="str">
        <f>Source!E219</f>
        <v>32,11</v>
      </c>
      <c r="B69" s="46" t="str">
        <f>Source!G219</f>
        <v>1625 Лавочка Медвежонок 1,2х0,42х0,92 м</v>
      </c>
      <c r="C69" s="47" t="str">
        <f>Source!H219</f>
        <v>шт.</v>
      </c>
      <c r="D69" s="48">
        <f>Source!I219</f>
        <v>1</v>
      </c>
      <c r="E69" s="46"/>
    </row>
    <row r="70" spans="1:5" ht="14.25" x14ac:dyDescent="0.2">
      <c r="A70" s="45" t="str">
        <f>Source!E220</f>
        <v>32,12</v>
      </c>
      <c r="B70" s="46" t="str">
        <f>Source!G220</f>
        <v>1626 Лавочка Касатка 1,2х0,42х0,95 м</v>
      </c>
      <c r="C70" s="47" t="str">
        <f>Source!H220</f>
        <v>шт.</v>
      </c>
      <c r="D70" s="48">
        <f>Source!I220</f>
        <v>1</v>
      </c>
      <c r="E70" s="46"/>
    </row>
    <row r="71" spans="1:5" ht="14.25" x14ac:dyDescent="0.2">
      <c r="A71" s="45" t="str">
        <f>Source!E221</f>
        <v>32,13</v>
      </c>
      <c r="B71" s="46" t="str">
        <f>Source!G221</f>
        <v>4001 Стол со стульчиками 1,2х1,2х0,6 м</v>
      </c>
      <c r="C71" s="47" t="str">
        <f>Source!H221</f>
        <v>шт.</v>
      </c>
      <c r="D71" s="48">
        <f>Source!I221</f>
        <v>4</v>
      </c>
      <c r="E71" s="46"/>
    </row>
    <row r="72" spans="1:5" ht="14.25" x14ac:dyDescent="0.2">
      <c r="A72" s="45" t="str">
        <f>Source!E222</f>
        <v>32,14</v>
      </c>
      <c r="B72" s="46" t="str">
        <f>Source!G222</f>
        <v>4102 Домик Тип 2 1,5х1,4х1,6 м</v>
      </c>
      <c r="C72" s="47" t="str">
        <f>Source!H222</f>
        <v>шт.</v>
      </c>
      <c r="D72" s="48">
        <f>Source!I222</f>
        <v>1</v>
      </c>
      <c r="E72" s="46"/>
    </row>
    <row r="73" spans="1:5" ht="14.25" x14ac:dyDescent="0.2">
      <c r="A73" s="45" t="str">
        <f>Source!E223</f>
        <v>32,15</v>
      </c>
      <c r="B73" s="46" t="str">
        <f>Source!G223</f>
        <v>4104-1 Домик Тип 4 1,1х1,0х2,0 м</v>
      </c>
      <c r="C73" s="47" t="str">
        <f>Source!H223</f>
        <v>шт.</v>
      </c>
      <c r="D73" s="48">
        <f>Source!I223</f>
        <v>1</v>
      </c>
      <c r="E73" s="46"/>
    </row>
    <row r="74" spans="1:5" ht="14.25" x14ac:dyDescent="0.2">
      <c r="A74" s="45" t="str">
        <f>Source!E224</f>
        <v>32,16</v>
      </c>
      <c r="B74" s="46" t="str">
        <f>Source!G224</f>
        <v>4104-4 Домик Тип 4 1,4х1,4х2,5 м</v>
      </c>
      <c r="C74" s="47" t="str">
        <f>Source!H224</f>
        <v>шт.</v>
      </c>
      <c r="D74" s="48">
        <f>Source!I224</f>
        <v>1</v>
      </c>
      <c r="E74" s="46"/>
    </row>
    <row r="75" spans="1:5" ht="14.25" x14ac:dyDescent="0.2">
      <c r="A75" s="45" t="str">
        <f>Source!E225</f>
        <v>32,17</v>
      </c>
      <c r="B75" s="46" t="str">
        <f>Source!G225</f>
        <v>4104-2 Домик Тип 4 1,0х1,0х1,75 м</v>
      </c>
      <c r="C75" s="47" t="str">
        <f>Source!H225</f>
        <v>шт.</v>
      </c>
      <c r="D75" s="48">
        <f>Source!I225</f>
        <v>1</v>
      </c>
      <c r="E75" s="46"/>
    </row>
    <row r="76" spans="1:5" ht="14.25" x14ac:dyDescent="0.2">
      <c r="A76" s="45" t="str">
        <f>Source!E226</f>
        <v>32,18</v>
      </c>
      <c r="B76" s="46" t="str">
        <f>Source!G226</f>
        <v>6006 Стенд 1,18х0,45х2,0 м</v>
      </c>
      <c r="C76" s="47" t="str">
        <f>Source!H226</f>
        <v>шт.</v>
      </c>
      <c r="D76" s="48">
        <f>Source!I226</f>
        <v>1</v>
      </c>
      <c r="E76" s="46"/>
    </row>
    <row r="77" spans="1:5" ht="14.25" x14ac:dyDescent="0.2">
      <c r="A77" s="45" t="str">
        <f>Source!E227</f>
        <v>32,19</v>
      </c>
      <c r="B77" s="46" t="str">
        <f>Source!G227</f>
        <v>6002 Велопарковка Тип 2 2,9х1,0х1,0 м</v>
      </c>
      <c r="C77" s="47" t="str">
        <f>Source!H227</f>
        <v>шт.</v>
      </c>
      <c r="D77" s="48">
        <f>Source!I227</f>
        <v>1</v>
      </c>
      <c r="E77" s="46"/>
    </row>
    <row r="78" spans="1:5" ht="14.25" x14ac:dyDescent="0.2">
      <c r="A78" s="45" t="str">
        <f>Source!E228</f>
        <v>32,20</v>
      </c>
      <c r="B78" s="46" t="str">
        <f>Source!G228</f>
        <v>3513 Футбольные ворота (без сетки) 3,0х1,04х2,0 м</v>
      </c>
      <c r="C78" s="47" t="str">
        <f>Source!H228</f>
        <v>шт.</v>
      </c>
      <c r="D78" s="48">
        <f>Source!I228</f>
        <v>2</v>
      </c>
      <c r="E78" s="46"/>
    </row>
    <row r="79" spans="1:5" ht="16.5" x14ac:dyDescent="0.25">
      <c r="A79" s="72" t="str">
        <f>CONCATENATE("Раздел: ", Source!G290)</f>
        <v>Раздел: Контейнерная площадка</v>
      </c>
      <c r="B79" s="72"/>
      <c r="C79" s="72"/>
      <c r="D79" s="72"/>
      <c r="E79" s="72"/>
    </row>
    <row r="80" spans="1:5" ht="16.5" x14ac:dyDescent="0.25">
      <c r="A80" s="72" t="str">
        <f>CONCATENATE("Подраздел: ", Source!G294)</f>
        <v>Подраздел: Демонтажные работы</v>
      </c>
      <c r="B80" s="72"/>
      <c r="C80" s="72"/>
      <c r="D80" s="72"/>
      <c r="E80" s="72"/>
    </row>
    <row r="81" spans="1:5" ht="28.5" x14ac:dyDescent="0.2">
      <c r="A81" s="45" t="str">
        <f>Source!E298</f>
        <v>33</v>
      </c>
      <c r="B81" s="46" t="str">
        <f>Source!G298</f>
        <v>Монтаж кровельного покрытия из профилированного листа при высоте здания до 25 м</v>
      </c>
      <c r="C81" s="47" t="str">
        <f>Source!H298</f>
        <v>100 м2</v>
      </c>
      <c r="D81" s="48">
        <f>Source!I298</f>
        <v>7.4999999999999997E-2</v>
      </c>
      <c r="E81" s="46"/>
    </row>
    <row r="82" spans="1:5" ht="28.5" x14ac:dyDescent="0.2">
      <c r="A82" s="45" t="str">
        <f>Source!E299</f>
        <v>34</v>
      </c>
      <c r="B82" s="46" t="str">
        <f>Source!G299</f>
        <v>Монтаж мелких конструкций из стали различного профиля массой до 50 кг</v>
      </c>
      <c r="C82" s="47" t="str">
        <f>Source!H299</f>
        <v>т</v>
      </c>
      <c r="D82" s="48">
        <f>Source!I299</f>
        <v>0.05</v>
      </c>
      <c r="E82" s="46"/>
    </row>
    <row r="83" spans="1:5" ht="14.25" x14ac:dyDescent="0.2">
      <c r="A83" s="45" t="str">
        <f>Source!E300</f>
        <v>35</v>
      </c>
      <c r="B83" s="46" t="str">
        <f>Source!G300</f>
        <v>Демонтаж дверных металлических блоков</v>
      </c>
      <c r="C83" s="47" t="str">
        <f>Source!H300</f>
        <v>т</v>
      </c>
      <c r="D83" s="48">
        <f>Source!I300</f>
        <v>0.05</v>
      </c>
      <c r="E83" s="46"/>
    </row>
    <row r="84" spans="1:5" ht="14.25" x14ac:dyDescent="0.2">
      <c r="A84" s="45" t="str">
        <f>Source!E301</f>
        <v>36</v>
      </c>
      <c r="B84" s="46" t="str">
        <f>Source!G301</f>
        <v>Разборка кладки стен из кирпича простых</v>
      </c>
      <c r="C84" s="47" t="str">
        <f>Source!H301</f>
        <v>10 м3</v>
      </c>
      <c r="D84" s="48">
        <f>Source!I301</f>
        <v>0.185</v>
      </c>
      <c r="E84" s="46"/>
    </row>
    <row r="85" spans="1:5" ht="16.5" x14ac:dyDescent="0.25">
      <c r="A85" s="72" t="str">
        <f>CONCATENATE("Подраздел: ", Source!G333)</f>
        <v>Подраздел: Строительные работы</v>
      </c>
      <c r="B85" s="72"/>
      <c r="C85" s="72"/>
      <c r="D85" s="72"/>
      <c r="E85" s="72"/>
    </row>
    <row r="86" spans="1:5" ht="28.5" x14ac:dyDescent="0.2">
      <c r="A86" s="45" t="str">
        <f>Source!E337</f>
        <v>37</v>
      </c>
      <c r="B86" s="46" t="str">
        <f>Source!G337</f>
        <v>Устройство покрытий из асфальтобетонных горячих мелкозернистых смесей, марка II, тип В,  толщиной 25 мм</v>
      </c>
      <c r="C86" s="47" t="str">
        <f>Source!H337</f>
        <v>100 м2</v>
      </c>
      <c r="D86" s="48">
        <f>Source!I337</f>
        <v>0.08</v>
      </c>
      <c r="E86" s="46"/>
    </row>
    <row r="87" spans="1:5" ht="14.25" x14ac:dyDescent="0.2">
      <c r="A87" s="45" t="str">
        <f>Source!E338</f>
        <v>38</v>
      </c>
      <c r="B87" s="46" t="str">
        <f>Source!G338</f>
        <v>Добавлять или исключать на 5 мм изменения толщины к поз.10-3303-2-3</v>
      </c>
      <c r="C87" s="47" t="str">
        <f>Source!H338</f>
        <v>100 м2</v>
      </c>
      <c r="D87" s="48">
        <f>Source!I338</f>
        <v>0.08</v>
      </c>
      <c r="E87" s="46"/>
    </row>
    <row r="88" spans="1:5" ht="28.5" x14ac:dyDescent="0.2">
      <c r="A88" s="45" t="str">
        <f>Source!E339</f>
        <v>39</v>
      </c>
      <c r="B88" s="46" t="str">
        <f>Source!G339</f>
        <v>Монтаж мелких конструкций из стали различного профиля массой до 100 кг</v>
      </c>
      <c r="C88" s="47" t="str">
        <f>Source!H339</f>
        <v>т</v>
      </c>
      <c r="D88" s="48">
        <f>Source!I339</f>
        <v>0.4</v>
      </c>
      <c r="E88" s="46"/>
    </row>
    <row r="89" spans="1:5" ht="14.25" x14ac:dyDescent="0.2">
      <c r="A89" s="45" t="str">
        <f>Source!E340</f>
        <v>39,1</v>
      </c>
      <c r="B89" s="46" t="str">
        <f>Source!G340</f>
        <v>Контейнерная площадка на 3 контейнера (с дверьми)</v>
      </c>
      <c r="C89" s="47" t="str">
        <f>Source!H340</f>
        <v>шт.</v>
      </c>
      <c r="D89" s="48">
        <f>Source!I340</f>
        <v>0.35936600000000002</v>
      </c>
      <c r="E89" s="46"/>
    </row>
    <row r="90" spans="1:5" ht="16.5" x14ac:dyDescent="0.25">
      <c r="A90" s="72" t="str">
        <f>CONCATENATE("Раздел: ", Source!G402)</f>
        <v>Раздел: Дорожки до веранд</v>
      </c>
      <c r="B90" s="72"/>
      <c r="C90" s="72"/>
      <c r="D90" s="72"/>
      <c r="E90" s="72"/>
    </row>
    <row r="91" spans="1:5" ht="16.5" x14ac:dyDescent="0.25">
      <c r="A91" s="72" t="str">
        <f>CONCATENATE("Подраздел: ", Source!G406)</f>
        <v>Подраздел: Строительные работы</v>
      </c>
      <c r="B91" s="72"/>
      <c r="C91" s="72"/>
      <c r="D91" s="72"/>
      <c r="E91" s="72"/>
    </row>
    <row r="92" spans="1:5" ht="28.5" x14ac:dyDescent="0.2">
      <c r="A92" s="45" t="str">
        <f>Source!E410</f>
        <v>40</v>
      </c>
      <c r="B92" s="46" t="str">
        <f>Source!G410</f>
        <v>Разработка грунта вручную в траншеях глубиной до 2 м без креплений с откосами группа грунтов 1-3</v>
      </c>
      <c r="C92" s="47" t="str">
        <f>Source!H410</f>
        <v>100 м3</v>
      </c>
      <c r="D92" s="48">
        <f>Source!I410</f>
        <v>0.10829999999999999</v>
      </c>
      <c r="E92" s="46"/>
    </row>
    <row r="93" spans="1:5" ht="14.25" x14ac:dyDescent="0.2">
      <c r="A93" s="45" t="str">
        <f>Source!E411</f>
        <v>41</v>
      </c>
      <c r="B93" s="46" t="str">
        <f>Source!G411</f>
        <v>Уплотнение грунта пневматическими трамбовками, группа грунтов 1, 2</v>
      </c>
      <c r="C93" s="47" t="str">
        <f>Source!H411</f>
        <v>100 м3</v>
      </c>
      <c r="D93" s="48">
        <f>Source!I411</f>
        <v>0.10829999999999999</v>
      </c>
      <c r="E93" s="46"/>
    </row>
    <row r="94" spans="1:5" ht="14.25" x14ac:dyDescent="0.2">
      <c r="A94" s="45" t="str">
        <f>Source!E412</f>
        <v>42</v>
      </c>
      <c r="B94" s="46" t="str">
        <f>Source!G412</f>
        <v>Устройство уплотняемых трамбовками подстилающих слоев песчаных</v>
      </c>
      <c r="C94" s="47" t="str">
        <f>Source!H412</f>
        <v>м3</v>
      </c>
      <c r="D94" s="48">
        <f>Source!I412</f>
        <v>8.67</v>
      </c>
      <c r="E94" s="46"/>
    </row>
    <row r="95" spans="1:5" ht="14.25" x14ac:dyDescent="0.2">
      <c r="A95" s="45" t="str">
        <f>Source!E413</f>
        <v>43</v>
      </c>
      <c r="B95" s="46" t="str">
        <f>Source!G413</f>
        <v>Устройство бетонного поребрика на бетонном основании</v>
      </c>
      <c r="C95" s="47" t="str">
        <f>Source!H413</f>
        <v>м</v>
      </c>
      <c r="D95" s="48">
        <f>Source!I413</f>
        <v>57.8</v>
      </c>
      <c r="E95" s="46"/>
    </row>
    <row r="96" spans="1:5" ht="14.25" x14ac:dyDescent="0.2">
      <c r="A96" s="45" t="str">
        <f>Source!E414</f>
        <v>43,1</v>
      </c>
      <c r="B96" s="46" t="str">
        <f>Source!G414</f>
        <v>Камни бетонные бортовые, марка БР60.20.8</v>
      </c>
      <c r="C96" s="47" t="str">
        <f>Source!H414</f>
        <v>м3</v>
      </c>
      <c r="D96" s="48">
        <f>Source!I414</f>
        <v>0.57799999999999996</v>
      </c>
      <c r="E96" s="46"/>
    </row>
    <row r="97" spans="1:5" ht="28.5" x14ac:dyDescent="0.2">
      <c r="A97" s="45" t="str">
        <f>Source!E415</f>
        <v>44</v>
      </c>
      <c r="B97" s="46" t="str">
        <f>Source!G415</f>
        <v>Устройство уплотняемых трамбовками подстилающих слоев щебеночных</v>
      </c>
      <c r="C97" s="47" t="str">
        <f>Source!H415</f>
        <v>м3</v>
      </c>
      <c r="D97" s="48">
        <f>Source!I415</f>
        <v>6.5</v>
      </c>
      <c r="E97" s="46"/>
    </row>
    <row r="98" spans="1:5" ht="28.5" x14ac:dyDescent="0.2">
      <c r="A98" s="45" t="str">
        <f>Source!E416</f>
        <v>45</v>
      </c>
      <c r="B98" s="46" t="str">
        <f>Source!G416</f>
        <v>Устройство покрытий из асфальтобетонных горячих мелкозернистых смесей, марка II, тип В,  толщиной 25 мм</v>
      </c>
      <c r="C98" s="47" t="str">
        <f>Source!H416</f>
        <v>100 м2</v>
      </c>
      <c r="D98" s="48">
        <f>Source!I416</f>
        <v>0.4335</v>
      </c>
      <c r="E98" s="46"/>
    </row>
    <row r="99" spans="1:5" ht="14.25" x14ac:dyDescent="0.2">
      <c r="A99" s="45" t="str">
        <f>Source!E417</f>
        <v>46</v>
      </c>
      <c r="B99" s="46" t="str">
        <f>Source!G417</f>
        <v>Добавлять или исключать на 5 мм изменения толщины к поз.10-3303-2-3</v>
      </c>
      <c r="C99" s="47" t="str">
        <f>Source!H417</f>
        <v>100 м2</v>
      </c>
      <c r="D99" s="48">
        <f>Source!I417</f>
        <v>0.4335</v>
      </c>
      <c r="E99" s="46"/>
    </row>
    <row r="100" spans="1:5" ht="16.5" x14ac:dyDescent="0.25">
      <c r="A100" s="72" t="str">
        <f>CONCATENATE("Раздел: ", Source!G479)</f>
        <v>Раздел: Забор</v>
      </c>
      <c r="B100" s="72"/>
      <c r="C100" s="72"/>
      <c r="D100" s="72"/>
      <c r="E100" s="72"/>
    </row>
    <row r="101" spans="1:5" ht="16.5" x14ac:dyDescent="0.25">
      <c r="A101" s="72" t="str">
        <f>CONCATENATE("Подраздел: ", Source!G483)</f>
        <v>Подраздел: Демонтажные работы</v>
      </c>
      <c r="B101" s="72"/>
      <c r="C101" s="72"/>
      <c r="D101" s="72"/>
      <c r="E101" s="72"/>
    </row>
    <row r="102" spans="1:5" ht="28.5" x14ac:dyDescent="0.2">
      <c r="A102" s="45" t="str">
        <f>Source!E487</f>
        <v>47</v>
      </c>
      <c r="B102" s="46" t="str">
        <f>Source!G487</f>
        <v>Монтаж мелких конструкций из стали различного профиля массой до 100 кг</v>
      </c>
      <c r="C102" s="47" t="str">
        <f>Source!H487</f>
        <v>т</v>
      </c>
      <c r="D102" s="48">
        <f>Source!I487</f>
        <v>5.43</v>
      </c>
      <c r="E102" s="46"/>
    </row>
    <row r="103" spans="1:5" ht="16.5" x14ac:dyDescent="0.25">
      <c r="A103" s="72" t="str">
        <f>CONCATENATE("Подраздел: ", Source!G519)</f>
        <v>Подраздел: Строительные работы</v>
      </c>
      <c r="B103" s="72"/>
      <c r="C103" s="72"/>
      <c r="D103" s="72"/>
      <c r="E103" s="72"/>
    </row>
    <row r="104" spans="1:5" ht="28.5" x14ac:dyDescent="0.2">
      <c r="A104" s="45" t="str">
        <f>Source!E523</f>
        <v>48</v>
      </c>
      <c r="B104" s="46" t="str">
        <f>Source!G523</f>
        <v>Изготовление и установка секций металлического ограждения, калиток, ворот из профилированной трубы, масса секции до 150 кг</v>
      </c>
      <c r="C104" s="47" t="str">
        <f>Source!H523</f>
        <v>м2</v>
      </c>
      <c r="D104" s="48">
        <f>Source!I523</f>
        <v>452</v>
      </c>
      <c r="E104" s="46"/>
    </row>
    <row r="105" spans="1:5" ht="28.5" x14ac:dyDescent="0.2">
      <c r="A105" s="45" t="str">
        <f>Source!E524</f>
        <v>48,1</v>
      </c>
      <c r="B105" s="46" t="str">
        <f>Source!G524</f>
        <v>Профили стальные электросварные квадратного сечения трубчатые, размер стороны 40 мм, толщина стенки 2 мм</v>
      </c>
      <c r="C105" s="47" t="str">
        <f>Source!H524</f>
        <v>т</v>
      </c>
      <c r="D105" s="48">
        <f>Source!I524</f>
        <v>-67.347999999999999</v>
      </c>
      <c r="E105" s="46"/>
    </row>
    <row r="106" spans="1:5" ht="28.5" x14ac:dyDescent="0.2">
      <c r="A106" s="45" t="str">
        <f>Source!E525</f>
        <v>48,2</v>
      </c>
      <c r="B106" s="46" t="str">
        <f>Source!G525</f>
        <v>Профили стальные электросварные прямоугольного сечения трубчатые, размер 20х50 мм, толщина стенки 2,0 мм</v>
      </c>
      <c r="C106" s="47" t="str">
        <f>Source!H525</f>
        <v>т</v>
      </c>
      <c r="D106" s="48">
        <f>Source!I525</f>
        <v>1.8520000000000001</v>
      </c>
      <c r="E106" s="46"/>
    </row>
    <row r="107" spans="1:5" ht="28.5" x14ac:dyDescent="0.2">
      <c r="A107" s="45" t="str">
        <f>Source!E526</f>
        <v>48,3</v>
      </c>
      <c r="B107" s="46" t="str">
        <f>Source!G526</f>
        <v>Профили стальные электросварные квадратного сечения трубчатые, размер стороны 20 мм, толщина стенки 2 мм</v>
      </c>
      <c r="C107" s="47" t="str">
        <f>Source!H526</f>
        <v>т</v>
      </c>
      <c r="D107" s="48">
        <f>Source!I526</f>
        <v>2.6909999999999998</v>
      </c>
      <c r="E107" s="46"/>
    </row>
    <row r="108" spans="1:5" ht="28.5" x14ac:dyDescent="0.2">
      <c r="A108" s="45" t="str">
        <f>Source!E527</f>
        <v>49</v>
      </c>
      <c r="B108" s="46" t="str">
        <f>Source!G527</f>
        <v>Изготовление и установка металлических стоек ограждения, масса стойки до 50 кг</v>
      </c>
      <c r="C108" s="47" t="str">
        <f>Source!H527</f>
        <v>шт.</v>
      </c>
      <c r="D108" s="48">
        <f>Source!I527</f>
        <v>61</v>
      </c>
      <c r="E108" s="46"/>
    </row>
    <row r="109" spans="1:5" ht="42.75" x14ac:dyDescent="0.2">
      <c r="A109" s="45" t="str">
        <f>Source!E528</f>
        <v>49,1</v>
      </c>
      <c r="B109" s="46" t="str">
        <f>Source!G528</f>
        <v>Трубы стальные бесшовные холоднодеформированные из стали марок 10, 20, 30, 45, ГОСТ 8734-75, 8733-74, наружный диаметр 150 мм, толщина стенки 4мм</v>
      </c>
      <c r="C109" s="47" t="str">
        <f>Source!H528</f>
        <v>м</v>
      </c>
      <c r="D109" s="48">
        <f>Source!I528</f>
        <v>-152.5</v>
      </c>
      <c r="E109" s="46"/>
    </row>
    <row r="110" spans="1:5" ht="28.5" x14ac:dyDescent="0.2">
      <c r="A110" s="45" t="str">
        <f>Source!E529</f>
        <v>49,2</v>
      </c>
      <c r="B110" s="46" t="str">
        <f>Source!G529</f>
        <v>Профили стальные электросварные квадратного сечения трубчатые, размер стороны 80 мм, толщина стенки 3-6 мм</v>
      </c>
      <c r="C110" s="47" t="str">
        <f>Source!H529</f>
        <v>т</v>
      </c>
      <c r="D110" s="48">
        <f>Source!I529</f>
        <v>1.71</v>
      </c>
      <c r="E110" s="46"/>
    </row>
    <row r="111" spans="1:5" ht="28.5" x14ac:dyDescent="0.2">
      <c r="A111" s="45" t="str">
        <f>Source!E530</f>
        <v>50</v>
      </c>
      <c r="B111" s="46" t="str">
        <f>Source!G530</f>
        <v>Изготовление и установка секций металлического ограждения, калиток, ворот из профилированной трубы, масса секции до 150 кг</v>
      </c>
      <c r="C111" s="47" t="str">
        <f>Source!H530</f>
        <v>м2</v>
      </c>
      <c r="D111" s="48">
        <f>Source!I530</f>
        <v>10</v>
      </c>
      <c r="E111" s="46"/>
    </row>
    <row r="112" spans="1:5" ht="28.5" x14ac:dyDescent="0.2">
      <c r="A112" s="45" t="str">
        <f>Source!E531</f>
        <v>51</v>
      </c>
      <c r="B112" s="46" t="str">
        <f>Source!G531</f>
        <v>Окраска масляными составами за два раза металлических поверхностей решеток и оград</v>
      </c>
      <c r="C112" s="47" t="str">
        <f>Source!H531</f>
        <v>100 м2</v>
      </c>
      <c r="D112" s="48">
        <f>Source!I531</f>
        <v>4.5199999999999996</v>
      </c>
      <c r="E112" s="46"/>
    </row>
    <row r="113" spans="1:5" ht="42.75" x14ac:dyDescent="0.2">
      <c r="A113" s="45" t="str">
        <f>Source!E532</f>
        <v>52</v>
      </c>
      <c r="B113" s="46" t="str">
        <f>Source!G532</f>
        <v>Облицовка поликарбонатом ячеистым толщиной 16 мм металлических конструкций с креплением через соединительные профили, поверхность вертикальная</v>
      </c>
      <c r="C113" s="47" t="str">
        <f>Source!H532</f>
        <v>100 м2</v>
      </c>
      <c r="D113" s="48">
        <f>Source!I532</f>
        <v>4.5199999999999996</v>
      </c>
      <c r="E113" s="46"/>
    </row>
    <row r="114" spans="1:5" ht="14.25" x14ac:dyDescent="0.2">
      <c r="A114" s="45" t="str">
        <f>Source!E533</f>
        <v>53</v>
      </c>
      <c r="B114" s="46" t="str">
        <f>Source!G533</f>
        <v>Установка ключа или кнопки на панели (без стоимости материалов)</v>
      </c>
      <c r="C114" s="47" t="str">
        <f>Source!H533</f>
        <v>шт.</v>
      </c>
      <c r="D114" s="48">
        <f>Source!I533</f>
        <v>1</v>
      </c>
      <c r="E114" s="46"/>
    </row>
    <row r="115" spans="1:5" ht="14.25" x14ac:dyDescent="0.2">
      <c r="A115" s="45" t="str">
        <f>Source!E534</f>
        <v>54</v>
      </c>
      <c r="B115" s="46" t="str">
        <f>Source!G534</f>
        <v>Установка дверного доводчика - к металлическим дверям / масса 120 кг</v>
      </c>
      <c r="C115" s="47" t="str">
        <f>Source!H534</f>
        <v>шт.</v>
      </c>
      <c r="D115" s="48">
        <f>Source!I534</f>
        <v>1</v>
      </c>
      <c r="E115" s="46"/>
    </row>
    <row r="116" spans="1:5" ht="28.5" x14ac:dyDescent="0.2">
      <c r="A116" s="45" t="str">
        <f>Source!E535</f>
        <v>55</v>
      </c>
      <c r="B116" s="46" t="str">
        <f>Source!G535</f>
        <v>Установка аппарата управления и сигнализации, количество подключаемых концов до 6 (без стоимости основных материалов)</v>
      </c>
      <c r="C116" s="47" t="str">
        <f>Source!H535</f>
        <v>шт.</v>
      </c>
      <c r="D116" s="48">
        <f>Source!I535</f>
        <v>1</v>
      </c>
      <c r="E116" s="46"/>
    </row>
    <row r="117" spans="1:5" ht="16.5" x14ac:dyDescent="0.25">
      <c r="A117" s="72" t="str">
        <f>CONCATENATE("Раздел: ", Source!G598)</f>
        <v>Раздел: Асфальт</v>
      </c>
      <c r="B117" s="72"/>
      <c r="C117" s="72"/>
      <c r="D117" s="72"/>
      <c r="E117" s="72"/>
    </row>
    <row r="118" spans="1:5" ht="16.5" x14ac:dyDescent="0.25">
      <c r="A118" s="72" t="str">
        <f>CONCATENATE("Подраздел: ", Source!G602)</f>
        <v>Подраздел: Строительные работы</v>
      </c>
      <c r="B118" s="72"/>
      <c r="C118" s="72"/>
      <c r="D118" s="72"/>
      <c r="E118" s="72"/>
    </row>
    <row r="119" spans="1:5" ht="14.25" x14ac:dyDescent="0.2">
      <c r="A119" s="45" t="str">
        <f>Source!E606</f>
        <v>56</v>
      </c>
      <c r="B119" s="46" t="str">
        <f>Source!G606</f>
        <v>Замена бортового камня бетонного во дворовых территориях</v>
      </c>
      <c r="C119" s="47" t="str">
        <f>Source!H606</f>
        <v>м</v>
      </c>
      <c r="D119" s="48">
        <f>Source!I606</f>
        <v>235</v>
      </c>
      <c r="E119" s="46"/>
    </row>
    <row r="120" spans="1:5" ht="28.5" x14ac:dyDescent="0.2">
      <c r="A120" s="45" t="str">
        <f>Source!E607</f>
        <v>57</v>
      </c>
      <c r="B120" s="46" t="str">
        <f>Source!G607</f>
        <v>Устройство покрытий из асфальтобетонных горячих мелкозернистых смесей, марка II, тип В,  толщиной 25 мм</v>
      </c>
      <c r="C120" s="47" t="str">
        <f>Source!H607</f>
        <v>100 м2</v>
      </c>
      <c r="D120" s="48">
        <f>Source!I607</f>
        <v>11.100899999999999</v>
      </c>
      <c r="E120" s="46"/>
    </row>
    <row r="121" spans="1:5" ht="14.25" x14ac:dyDescent="0.2">
      <c r="A121" s="45" t="str">
        <f>Source!E608</f>
        <v>58</v>
      </c>
      <c r="B121" s="46" t="str">
        <f>Source!G608</f>
        <v>Добавлять или исключать на 5 мм изменения толщины к поз.10-3303-2-3</v>
      </c>
      <c r="C121" s="47" t="str">
        <f>Source!H608</f>
        <v>100 м2</v>
      </c>
      <c r="D121" s="48">
        <f>Source!I608</f>
        <v>11.100899999999999</v>
      </c>
      <c r="E121" s="46"/>
    </row>
    <row r="122" spans="1:5" ht="16.5" x14ac:dyDescent="0.25">
      <c r="A122" s="72" t="str">
        <f>CONCATENATE("Раздел: ", Source!G670)</f>
        <v>Раздел: Хавская ул., д. 15 стр. 1-2</v>
      </c>
      <c r="B122" s="72"/>
      <c r="C122" s="72"/>
      <c r="D122" s="72"/>
      <c r="E122" s="72"/>
    </row>
    <row r="123" spans="1:5" ht="16.5" x14ac:dyDescent="0.25">
      <c r="A123" s="72" t="str">
        <f>CONCATENATE("Раздел: ", Source!G704)</f>
        <v>Раздел: Контейнерная площадка</v>
      </c>
      <c r="B123" s="72"/>
      <c r="C123" s="72"/>
      <c r="D123" s="72"/>
      <c r="E123" s="72"/>
    </row>
    <row r="124" spans="1:5" ht="16.5" x14ac:dyDescent="0.25">
      <c r="A124" s="72" t="str">
        <f>CONCATENATE("Подраздел: ", Source!G708)</f>
        <v>Подраздел: Демонтажные работы</v>
      </c>
      <c r="B124" s="72"/>
      <c r="C124" s="72"/>
      <c r="D124" s="72"/>
      <c r="E124" s="72"/>
    </row>
    <row r="125" spans="1:5" ht="28.5" x14ac:dyDescent="0.2">
      <c r="A125" s="45" t="str">
        <f>Source!E712</f>
        <v>59</v>
      </c>
      <c r="B125" s="46" t="str">
        <f>Source!G712</f>
        <v>Монтаж кровельного покрытия из профилированного листа при высоте здания до 25 м</v>
      </c>
      <c r="C125" s="47" t="str">
        <f>Source!H712</f>
        <v>100 м2</v>
      </c>
      <c r="D125" s="48">
        <f>Source!I712</f>
        <v>7.4999999999999997E-2</v>
      </c>
      <c r="E125" s="46"/>
    </row>
    <row r="126" spans="1:5" ht="28.5" x14ac:dyDescent="0.2">
      <c r="A126" s="45" t="str">
        <f>Source!E713</f>
        <v>60</v>
      </c>
      <c r="B126" s="46" t="str">
        <f>Source!G713</f>
        <v>Монтаж мелких конструкций из стали различного профиля массой до 50 кг</v>
      </c>
      <c r="C126" s="47" t="str">
        <f>Source!H713</f>
        <v>т</v>
      </c>
      <c r="D126" s="48">
        <f>Source!I713</f>
        <v>0.25</v>
      </c>
      <c r="E126" s="46"/>
    </row>
    <row r="127" spans="1:5" ht="14.25" x14ac:dyDescent="0.2">
      <c r="A127" s="45" t="str">
        <f>Source!E714</f>
        <v>61</v>
      </c>
      <c r="B127" s="46" t="str">
        <f>Source!G714</f>
        <v>Демонтаж дверных металлических блоков</v>
      </c>
      <c r="C127" s="47" t="str">
        <f>Source!H714</f>
        <v>т</v>
      </c>
      <c r="D127" s="48">
        <f>Source!I714</f>
        <v>0.05</v>
      </c>
      <c r="E127" s="46"/>
    </row>
    <row r="128" spans="1:5" ht="16.5" x14ac:dyDescent="0.25">
      <c r="A128" s="72" t="str">
        <f>CONCATENATE("Подраздел: ", Source!G746)</f>
        <v>Подраздел: Строительные работы</v>
      </c>
      <c r="B128" s="72"/>
      <c r="C128" s="72"/>
      <c r="D128" s="72"/>
      <c r="E128" s="72"/>
    </row>
    <row r="129" spans="1:5" ht="28.5" x14ac:dyDescent="0.2">
      <c r="A129" s="45" t="str">
        <f>Source!E750</f>
        <v>62</v>
      </c>
      <c r="B129" s="46" t="str">
        <f>Source!G750</f>
        <v>Устройство покрытий из асфальтобетонных горячих мелкозернистых смесей, марка II, тип В,  толщиной 25 мм</v>
      </c>
      <c r="C129" s="47" t="str">
        <f>Source!H750</f>
        <v>100 м2</v>
      </c>
      <c r="D129" s="48">
        <f>Source!I750</f>
        <v>0.08</v>
      </c>
      <c r="E129" s="46"/>
    </row>
    <row r="130" spans="1:5" ht="14.25" x14ac:dyDescent="0.2">
      <c r="A130" s="45" t="str">
        <f>Source!E751</f>
        <v>63</v>
      </c>
      <c r="B130" s="46" t="str">
        <f>Source!G751</f>
        <v>Добавлять или исключать на 5 мм изменения толщины к поз.10-3303-2-3</v>
      </c>
      <c r="C130" s="47" t="str">
        <f>Source!H751</f>
        <v>100 м2</v>
      </c>
      <c r="D130" s="48">
        <f>Source!I751</f>
        <v>0.08</v>
      </c>
      <c r="E130" s="46"/>
    </row>
    <row r="131" spans="1:5" ht="28.5" x14ac:dyDescent="0.2">
      <c r="A131" s="45" t="str">
        <f>Source!E752</f>
        <v>64</v>
      </c>
      <c r="B131" s="46" t="str">
        <f>Source!G752</f>
        <v>Монтаж мелких конструкций из стали различного профиля массой до 100 кг</v>
      </c>
      <c r="C131" s="47" t="str">
        <f>Source!H752</f>
        <v>т</v>
      </c>
      <c r="D131" s="48">
        <f>Source!I752</f>
        <v>0.5</v>
      </c>
      <c r="E131" s="46"/>
    </row>
    <row r="132" spans="1:5" ht="14.25" x14ac:dyDescent="0.2">
      <c r="A132" s="45" t="str">
        <f>Source!E753</f>
        <v>64,1</v>
      </c>
      <c r="B132" s="46" t="str">
        <f>Source!G753</f>
        <v>Контейнерная площадка на 4 контейнера (с дверьми)</v>
      </c>
      <c r="C132" s="47" t="str">
        <f>Source!H753</f>
        <v>шт.</v>
      </c>
      <c r="D132" s="48">
        <f>Source!I753</f>
        <v>0.449208</v>
      </c>
      <c r="E132" s="46"/>
    </row>
    <row r="133" spans="1:5" ht="16.5" x14ac:dyDescent="0.25">
      <c r="A133" s="72" t="str">
        <f>CONCATENATE("Раздел: ", Source!G815)</f>
        <v>Раздел: Асфальт и борткамень</v>
      </c>
      <c r="B133" s="72"/>
      <c r="C133" s="72"/>
      <c r="D133" s="72"/>
      <c r="E133" s="72"/>
    </row>
    <row r="134" spans="1:5" ht="16.5" x14ac:dyDescent="0.25">
      <c r="A134" s="72" t="str">
        <f>CONCATENATE("Подраздел: ", Source!G819)</f>
        <v>Подраздел: Спорт площадки</v>
      </c>
      <c r="B134" s="72"/>
      <c r="C134" s="72"/>
      <c r="D134" s="72"/>
      <c r="E134" s="72"/>
    </row>
    <row r="135" spans="1:5" ht="28.5" x14ac:dyDescent="0.2">
      <c r="A135" s="45" t="str">
        <f>Source!E823</f>
        <v>65</v>
      </c>
      <c r="B135" s="46" t="str">
        <f>Source!G823</f>
        <v>Разборка полиуретанового покрытия игровых площадок, спортивных дорожек и площадок - на асфальтобетонном основании</v>
      </c>
      <c r="C135" s="47" t="str">
        <f>Source!H823</f>
        <v>100 м2</v>
      </c>
      <c r="D135" s="48">
        <f>Source!I823</f>
        <v>3.48</v>
      </c>
      <c r="E135" s="46"/>
    </row>
    <row r="136" spans="1:5" ht="28.5" x14ac:dyDescent="0.2">
      <c r="A136" s="45" t="str">
        <f>Source!E824</f>
        <v>66</v>
      </c>
      <c r="B136" s="46" t="str">
        <f>Source!G824</f>
        <v>Устройство наливного полиуретанового покрытия спортивных площадок и беговых дорожек толщиной 10 мм</v>
      </c>
      <c r="C136" s="47" t="str">
        <f>Source!H824</f>
        <v>100 м2</v>
      </c>
      <c r="D136" s="48">
        <f>Source!I824</f>
        <v>3.48</v>
      </c>
      <c r="E136" s="46"/>
    </row>
    <row r="137" spans="1:5" ht="28.5" x14ac:dyDescent="0.2">
      <c r="A137" s="45" t="str">
        <f>Source!E825</f>
        <v>67</v>
      </c>
      <c r="B137" s="46" t="str">
        <f>Source!G825</f>
        <v>Монтаж мелких конструкций из стали различного профиля массой до 50 кг</v>
      </c>
      <c r="C137" s="47" t="str">
        <f>Source!H825</f>
        <v>т</v>
      </c>
      <c r="D137" s="48">
        <f>Source!I825</f>
        <v>0.1</v>
      </c>
      <c r="E137" s="46"/>
    </row>
    <row r="138" spans="1:5" ht="14.25" x14ac:dyDescent="0.2">
      <c r="A138" s="45" t="str">
        <f>Source!E826</f>
        <v>67,1</v>
      </c>
      <c r="B138" s="46" t="str">
        <f>Source!G826</f>
        <v>Баскетбольный щит МАФ 3510</v>
      </c>
      <c r="C138" s="47" t="str">
        <f>Source!H826</f>
        <v>шт.</v>
      </c>
      <c r="D138" s="48">
        <f>Source!I826</f>
        <v>2</v>
      </c>
      <c r="E138" s="46"/>
    </row>
    <row r="139" spans="1:5" ht="16.5" x14ac:dyDescent="0.25">
      <c r="A139" s="72" t="str">
        <f>CONCATENATE("Раздел: ", Source!G888)</f>
        <v>Раздел: Мусор</v>
      </c>
      <c r="B139" s="72"/>
      <c r="C139" s="72"/>
      <c r="D139" s="72"/>
      <c r="E139" s="72"/>
    </row>
    <row r="140" spans="1:5" ht="28.5" x14ac:dyDescent="0.2">
      <c r="A140" s="45" t="str">
        <f>Source!E892</f>
        <v>68</v>
      </c>
      <c r="B140" s="46" t="str">
        <f>Source!G892</f>
        <v>Механизированная погрузка строительного мусора в автомобили-самосвалы</v>
      </c>
      <c r="C140" s="47" t="str">
        <f>Source!H892</f>
        <v>т</v>
      </c>
      <c r="D140" s="48">
        <f>Source!I892</f>
        <v>173.65</v>
      </c>
      <c r="E140" s="46"/>
    </row>
    <row r="141" spans="1:5" ht="28.5" x14ac:dyDescent="0.2">
      <c r="A141" s="45" t="str">
        <f>Source!E893</f>
        <v>69</v>
      </c>
      <c r="B141" s="46" t="str">
        <f>Source!G893</f>
        <v>Перевозка строительного мусора автосамосвалами грузоподъемностью до 10 т на расстояние 1 км - при механизированной погрузке</v>
      </c>
      <c r="C141" s="47" t="str">
        <f>Source!H893</f>
        <v>т</v>
      </c>
      <c r="D141" s="48">
        <f>Source!I893</f>
        <v>173.65</v>
      </c>
      <c r="E141" s="46"/>
    </row>
    <row r="142" spans="1:5" ht="28.5" x14ac:dyDescent="0.2">
      <c r="A142" s="41" t="str">
        <f>Source!E894</f>
        <v>70</v>
      </c>
      <c r="B142" s="42" t="str">
        <f>Source!G894</f>
        <v>Перевозка строительного мусора автосамосвалами грузоподъемностью до 10 т - добавляется на каждый последующий 1 км до 100 км</v>
      </c>
      <c r="C142" s="43" t="str">
        <f>Source!H894</f>
        <v>т</v>
      </c>
      <c r="D142" s="44">
        <f>Source!I894</f>
        <v>173.65</v>
      </c>
      <c r="E142" s="42"/>
    </row>
    <row r="145" spans="1:5" ht="15" x14ac:dyDescent="0.25">
      <c r="A145" s="33" t="s">
        <v>730</v>
      </c>
      <c r="B145" s="33"/>
      <c r="C145" s="33" t="s">
        <v>731</v>
      </c>
      <c r="D145" s="33"/>
      <c r="E145" s="33"/>
    </row>
  </sheetData>
  <mergeCells count="28">
    <mergeCell ref="A128:E128"/>
    <mergeCell ref="A133:E133"/>
    <mergeCell ref="A134:E134"/>
    <mergeCell ref="A139:E139"/>
    <mergeCell ref="A103:E103"/>
    <mergeCell ref="A117:E117"/>
    <mergeCell ref="A118:E118"/>
    <mergeCell ref="A122:E122"/>
    <mergeCell ref="A123:E123"/>
    <mergeCell ref="A124:E124"/>
    <mergeCell ref="A101:E101"/>
    <mergeCell ref="A18:E18"/>
    <mergeCell ref="A25:E25"/>
    <mergeCell ref="A45:E45"/>
    <mergeCell ref="A46:E46"/>
    <mergeCell ref="A48:E48"/>
    <mergeCell ref="A79:E79"/>
    <mergeCell ref="A80:E80"/>
    <mergeCell ref="A85:E85"/>
    <mergeCell ref="A90:E90"/>
    <mergeCell ref="A91:E91"/>
    <mergeCell ref="A100:E100"/>
    <mergeCell ref="A17:E17"/>
    <mergeCell ref="C5:D5"/>
    <mergeCell ref="C7:D7"/>
    <mergeCell ref="A11:D11"/>
    <mergeCell ref="A12:D12"/>
    <mergeCell ref="A16:E16"/>
  </mergeCells>
  <pageMargins left="0.4" right="0.2" top="0.2" bottom="0.4" header="0.2" footer="0.2"/>
  <pageSetup paperSize="9" scale="77" fitToHeight="0" orientation="portrait" r:id="rId1"/>
  <headerFooter>
    <oddHeader>&amp;L&amp;8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/>
  </sheetViews>
  <sheetFormatPr defaultRowHeight="12.75" x14ac:dyDescent="0.2"/>
  <sheetData>
    <row r="1" spans="1:24" x14ac:dyDescent="0.2">
      <c r="A1" t="s">
        <v>756</v>
      </c>
      <c r="B1" t="s">
        <v>757</v>
      </c>
      <c r="C1" t="s">
        <v>758</v>
      </c>
      <c r="D1" t="s">
        <v>759</v>
      </c>
      <c r="E1" t="s">
        <v>760</v>
      </c>
      <c r="F1" t="s">
        <v>761</v>
      </c>
      <c r="G1" t="s">
        <v>762</v>
      </c>
      <c r="H1" t="s">
        <v>763</v>
      </c>
      <c r="I1" t="s">
        <v>764</v>
      </c>
      <c r="J1" t="s">
        <v>765</v>
      </c>
      <c r="K1" t="s">
        <v>766</v>
      </c>
      <c r="L1" t="s">
        <v>767</v>
      </c>
    </row>
    <row r="2" spans="1:24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0</v>
      </c>
      <c r="K2">
        <v>1</v>
      </c>
      <c r="L2">
        <v>38799519</v>
      </c>
    </row>
    <row r="4" spans="1:24" x14ac:dyDescent="0.2">
      <c r="A4" t="s">
        <v>732</v>
      </c>
      <c r="B4" t="s">
        <v>733</v>
      </c>
      <c r="C4" t="s">
        <v>734</v>
      </c>
      <c r="D4" t="s">
        <v>735</v>
      </c>
      <c r="E4" t="s">
        <v>736</v>
      </c>
      <c r="F4" t="s">
        <v>737</v>
      </c>
      <c r="G4" t="s">
        <v>738</v>
      </c>
      <c r="H4" t="s">
        <v>739</v>
      </c>
      <c r="I4" t="s">
        <v>740</v>
      </c>
      <c r="J4" t="s">
        <v>741</v>
      </c>
      <c r="K4" t="s">
        <v>742</v>
      </c>
      <c r="L4" t="s">
        <v>743</v>
      </c>
      <c r="M4" t="s">
        <v>744</v>
      </c>
      <c r="N4" t="s">
        <v>745</v>
      </c>
      <c r="O4" t="s">
        <v>746</v>
      </c>
      <c r="P4" t="s">
        <v>747</v>
      </c>
      <c r="Q4" t="s">
        <v>748</v>
      </c>
      <c r="R4" t="s">
        <v>749</v>
      </c>
      <c r="S4" t="s">
        <v>750</v>
      </c>
      <c r="T4" t="s">
        <v>751</v>
      </c>
      <c r="U4" t="s">
        <v>752</v>
      </c>
      <c r="V4" t="s">
        <v>753</v>
      </c>
      <c r="W4" t="s">
        <v>754</v>
      </c>
      <c r="X4" t="s">
        <v>755</v>
      </c>
    </row>
    <row r="6" spans="1:24" x14ac:dyDescent="0.2">
      <c r="A6">
        <f>Source!A20</f>
        <v>3</v>
      </c>
      <c r="B6">
        <v>20</v>
      </c>
      <c r="G6" t="str">
        <f>Source!G20</f>
        <v>Новая локальная смета</v>
      </c>
    </row>
    <row r="7" spans="1:24" x14ac:dyDescent="0.2">
      <c r="A7">
        <f>Source!A24</f>
        <v>4</v>
      </c>
      <c r="B7">
        <v>24</v>
      </c>
      <c r="G7" t="str">
        <f>Source!G24</f>
        <v>Веранды</v>
      </c>
    </row>
    <row r="8" spans="1:24" x14ac:dyDescent="0.2">
      <c r="A8">
        <f>Source!A28</f>
        <v>5</v>
      </c>
      <c r="B8">
        <v>28</v>
      </c>
      <c r="G8" t="str">
        <f>Source!G28</f>
        <v>Демонтажные работы</v>
      </c>
    </row>
    <row r="9" spans="1:24" x14ac:dyDescent="0.2">
      <c r="A9">
        <v>20</v>
      </c>
      <c r="B9">
        <v>5</v>
      </c>
      <c r="C9">
        <v>2</v>
      </c>
      <c r="D9">
        <v>0</v>
      </c>
      <c r="E9">
        <f>SmtRes!AV5</f>
        <v>0</v>
      </c>
      <c r="F9" t="str">
        <f>SmtRes!I5</f>
        <v>22.1-4-45</v>
      </c>
      <c r="G9" t="str">
        <f>SmtRes!K5</f>
        <v>Домкраты гидравлические, грузоподъемность до 100 т</v>
      </c>
      <c r="H9" t="str">
        <f>SmtRes!O5</f>
        <v>маш.-ч</v>
      </c>
      <c r="I9">
        <f>SmtRes!Y5*Source!I32</f>
        <v>0.26400000000000001</v>
      </c>
      <c r="J9">
        <f>SmtRes!AO5</f>
        <v>1</v>
      </c>
      <c r="K9">
        <f>SmtRes!AF5</f>
        <v>10.39</v>
      </c>
      <c r="L9">
        <f>SmtRes!DB5</f>
        <v>2.286</v>
      </c>
      <c r="M9">
        <f>ROUND(ROUND(L9*Source!I32, 6)*1, 2)</f>
        <v>2.74</v>
      </c>
      <c r="N9">
        <f>SmtRes!AB5</f>
        <v>10.39</v>
      </c>
      <c r="O9">
        <f>ROUND(ROUND(L9*Source!I32, 6)*SmtRes!DA5, 2)</f>
        <v>2.74</v>
      </c>
      <c r="P9">
        <f>SmtRes!AG5</f>
        <v>0.03</v>
      </c>
      <c r="Q9">
        <f>SmtRes!DC5</f>
        <v>6.0000000000000001E-3</v>
      </c>
      <c r="R9">
        <f>ROUND(ROUND(Q9*Source!I32, 6)*1, 2)</f>
        <v>0.01</v>
      </c>
      <c r="S9">
        <f>SmtRes!AC5</f>
        <v>0.03</v>
      </c>
      <c r="T9">
        <f>ROUND(ROUND(Q9*Source!I32, 6)*SmtRes!AK5, 2)</f>
        <v>0.01</v>
      </c>
      <c r="U9">
        <f>SmtRes!X5</f>
        <v>-699398312</v>
      </c>
      <c r="V9">
        <v>-272556929</v>
      </c>
      <c r="W9">
        <v>-272556929</v>
      </c>
      <c r="X9">
        <v>2</v>
      </c>
    </row>
    <row r="10" spans="1:24" x14ac:dyDescent="0.2">
      <c r="A10">
        <v>20</v>
      </c>
      <c r="B10">
        <v>4</v>
      </c>
      <c r="C10">
        <v>2</v>
      </c>
      <c r="D10">
        <v>0</v>
      </c>
      <c r="E10">
        <f>SmtRes!AV4</f>
        <v>0</v>
      </c>
      <c r="F10" t="str">
        <f>SmtRes!I4</f>
        <v>22.1-30-5</v>
      </c>
      <c r="G10" t="str">
        <f>SmtRes!K4</f>
        <v>Машины сверлильные ручные электрические</v>
      </c>
      <c r="H10" t="str">
        <f>SmtRes!O4</f>
        <v>маш.-ч</v>
      </c>
      <c r="I10">
        <f>SmtRes!Y4*Source!I32</f>
        <v>0.72239999999999993</v>
      </c>
      <c r="J10">
        <f>SmtRes!AO4</f>
        <v>1</v>
      </c>
      <c r="K10">
        <f>SmtRes!AF4</f>
        <v>4.71</v>
      </c>
      <c r="L10">
        <f>SmtRes!DB4</f>
        <v>2.8359999999999999</v>
      </c>
      <c r="M10">
        <f>ROUND(ROUND(L10*Source!I32, 6)*1, 2)</f>
        <v>3.4</v>
      </c>
      <c r="N10">
        <f>SmtRes!AB4</f>
        <v>4.71</v>
      </c>
      <c r="O10">
        <f>ROUND(ROUND(L10*Source!I32, 6)*SmtRes!DA4, 2)</f>
        <v>3.4</v>
      </c>
      <c r="P10">
        <f>SmtRes!AG4</f>
        <v>1.1200000000000001</v>
      </c>
      <c r="Q10">
        <f>SmtRes!DC4</f>
        <v>0.67400000000000004</v>
      </c>
      <c r="R10">
        <f>ROUND(ROUND(Q10*Source!I32, 6)*1, 2)</f>
        <v>0.81</v>
      </c>
      <c r="S10">
        <f>SmtRes!AC4</f>
        <v>1.1200000000000001</v>
      </c>
      <c r="T10">
        <f>ROUND(ROUND(Q10*Source!I32, 6)*SmtRes!AK4, 2)</f>
        <v>0.81</v>
      </c>
      <c r="U10">
        <f>SmtRes!X4</f>
        <v>-2096205149</v>
      </c>
      <c r="V10">
        <v>-1065957140</v>
      </c>
      <c r="W10">
        <v>-1065957140</v>
      </c>
      <c r="X10">
        <v>2</v>
      </c>
    </row>
    <row r="11" spans="1:24" x14ac:dyDescent="0.2">
      <c r="A11">
        <v>20</v>
      </c>
      <c r="B11">
        <v>3</v>
      </c>
      <c r="C11">
        <v>2</v>
      </c>
      <c r="D11">
        <v>0</v>
      </c>
      <c r="E11">
        <f>SmtRes!AV3</f>
        <v>0</v>
      </c>
      <c r="F11" t="str">
        <f>SmtRes!I3</f>
        <v>22.1-30-46</v>
      </c>
      <c r="G11" t="str">
        <f>SmtRes!K3</f>
        <v>Преобразователи частоты тока до 500 А</v>
      </c>
      <c r="H11" t="str">
        <f>SmtRes!O3</f>
        <v>маш.-ч</v>
      </c>
      <c r="I11">
        <f>SmtRes!Y3*Source!I32</f>
        <v>4.8000000000000008E-2</v>
      </c>
      <c r="J11">
        <f>SmtRes!AO3</f>
        <v>1</v>
      </c>
      <c r="K11">
        <f>SmtRes!AF3</f>
        <v>27.02</v>
      </c>
      <c r="L11">
        <f>SmtRes!DB3</f>
        <v>1.08</v>
      </c>
      <c r="M11">
        <f>ROUND(ROUND(L11*Source!I32, 6)*1, 2)</f>
        <v>1.3</v>
      </c>
      <c r="N11">
        <f>SmtRes!AB3</f>
        <v>27.02</v>
      </c>
      <c r="O11">
        <f>ROUND(ROUND(L11*Source!I32, 6)*SmtRes!DA3, 2)</f>
        <v>1.3</v>
      </c>
      <c r="P11">
        <f>SmtRes!AG3</f>
        <v>0.03</v>
      </c>
      <c r="Q11">
        <f>SmtRes!DC3</f>
        <v>2E-3</v>
      </c>
      <c r="R11">
        <f>ROUND(ROUND(Q11*Source!I32, 6)*1, 2)</f>
        <v>0</v>
      </c>
      <c r="S11">
        <f>SmtRes!AC3</f>
        <v>0.03</v>
      </c>
      <c r="T11">
        <f>ROUND(ROUND(Q11*Source!I32, 6)*SmtRes!AK3, 2)</f>
        <v>0</v>
      </c>
      <c r="U11">
        <f>SmtRes!X3</f>
        <v>118009128</v>
      </c>
      <c r="V11">
        <v>222750254</v>
      </c>
      <c r="W11">
        <v>222750254</v>
      </c>
      <c r="X11">
        <v>2</v>
      </c>
    </row>
    <row r="12" spans="1:24" x14ac:dyDescent="0.2">
      <c r="A12">
        <v>20</v>
      </c>
      <c r="B12">
        <v>2</v>
      </c>
      <c r="C12">
        <v>2</v>
      </c>
      <c r="D12">
        <v>0</v>
      </c>
      <c r="E12">
        <f>SmtRes!AV2</f>
        <v>0</v>
      </c>
      <c r="F12" t="str">
        <f>SmtRes!I2</f>
        <v>22.1-13-21</v>
      </c>
      <c r="G12" t="str">
        <f>SmtRes!K2</f>
        <v>Печи электрические для сушки сварочных материалов с регулированием температуры в пределах 80-500С</v>
      </c>
      <c r="H12" t="str">
        <f>SmtRes!O2</f>
        <v>маш.-ч</v>
      </c>
      <c r="I12">
        <f>SmtRes!Y2*Source!I32</f>
        <v>4.7999999999999996E-3</v>
      </c>
      <c r="J12">
        <f>SmtRes!AO2</f>
        <v>1</v>
      </c>
      <c r="K12">
        <f>SmtRes!AF2</f>
        <v>41.19</v>
      </c>
      <c r="L12">
        <f>SmtRes!DB2</f>
        <v>0.16400000000000001</v>
      </c>
      <c r="M12">
        <f>ROUND(ROUND(L12*Source!I32, 6)*1, 2)</f>
        <v>0.2</v>
      </c>
      <c r="N12">
        <f>SmtRes!AB2</f>
        <v>41.19</v>
      </c>
      <c r="O12">
        <f>ROUND(ROUND(L12*Source!I32, 6)*SmtRes!DA2, 2)</f>
        <v>0.2</v>
      </c>
      <c r="P12">
        <f>SmtRes!AG2</f>
        <v>0.34</v>
      </c>
      <c r="Q12">
        <f>SmtRes!DC2</f>
        <v>2E-3</v>
      </c>
      <c r="R12">
        <f>ROUND(ROUND(Q12*Source!I32, 6)*1, 2)</f>
        <v>0</v>
      </c>
      <c r="S12">
        <f>SmtRes!AC2</f>
        <v>0.34</v>
      </c>
      <c r="T12">
        <f>ROUND(ROUND(Q12*Source!I32, 6)*SmtRes!AK2, 2)</f>
        <v>0</v>
      </c>
      <c r="U12">
        <f>SmtRes!X2</f>
        <v>844705367</v>
      </c>
      <c r="V12">
        <v>953863627</v>
      </c>
      <c r="W12">
        <v>953863627</v>
      </c>
      <c r="X12">
        <v>2</v>
      </c>
    </row>
    <row r="13" spans="1:24" x14ac:dyDescent="0.2">
      <c r="A13">
        <v>20</v>
      </c>
      <c r="B13">
        <v>12</v>
      </c>
      <c r="C13">
        <v>2</v>
      </c>
      <c r="D13">
        <v>0</v>
      </c>
      <c r="E13">
        <f>SmtRes!AV12</f>
        <v>0</v>
      </c>
      <c r="F13" t="str">
        <f>SmtRes!I12</f>
        <v>22.1-30-54</v>
      </c>
      <c r="G13" t="str">
        <f>SmtRes!K12</f>
        <v>Молотки отбойные</v>
      </c>
      <c r="H13" t="str">
        <f>SmtRes!O12</f>
        <v>маш.-ч</v>
      </c>
      <c r="I13">
        <f>SmtRes!Y12*Source!I34</f>
        <v>137.33279999999999</v>
      </c>
      <c r="J13">
        <f>SmtRes!AO12</f>
        <v>1</v>
      </c>
      <c r="K13">
        <f>SmtRes!AF12</f>
        <v>6.02</v>
      </c>
      <c r="L13">
        <f>SmtRes!DB12</f>
        <v>47.68</v>
      </c>
      <c r="M13">
        <f>ROUND(ROUND(L13*Source!I34, 6)*1, 2)</f>
        <v>826.77</v>
      </c>
      <c r="N13">
        <f>SmtRes!AB12</f>
        <v>6.02</v>
      </c>
      <c r="O13">
        <f>ROUND(ROUND(L13*Source!I34, 6)*SmtRes!DA12, 2)</f>
        <v>826.77</v>
      </c>
      <c r="P13">
        <f>SmtRes!AG12</f>
        <v>0.02</v>
      </c>
      <c r="Q13">
        <f>SmtRes!DC12</f>
        <v>0.16</v>
      </c>
      <c r="R13">
        <f>ROUND(ROUND(Q13*Source!I34, 6)*1, 2)</f>
        <v>2.77</v>
      </c>
      <c r="S13">
        <f>SmtRes!AC12</f>
        <v>0.02</v>
      </c>
      <c r="T13">
        <f>ROUND(ROUND(Q13*Source!I34, 6)*SmtRes!AK12, 2)</f>
        <v>2.77</v>
      </c>
      <c r="U13">
        <f>SmtRes!X12</f>
        <v>1403155342</v>
      </c>
      <c r="V13">
        <v>975003665</v>
      </c>
      <c r="W13">
        <v>975003665</v>
      </c>
      <c r="X13">
        <v>2</v>
      </c>
    </row>
    <row r="14" spans="1:24" x14ac:dyDescent="0.2">
      <c r="A14">
        <v>20</v>
      </c>
      <c r="B14">
        <v>11</v>
      </c>
      <c r="C14">
        <v>2</v>
      </c>
      <c r="D14">
        <v>0</v>
      </c>
      <c r="E14">
        <f>SmtRes!AV11</f>
        <v>0</v>
      </c>
      <c r="F14" t="str">
        <f>SmtRes!I11</f>
        <v>22.1-10-5</v>
      </c>
      <c r="G14" t="str">
        <f>SmtRes!K11</f>
        <v>Компрессоры с дизельным двигателем прицепные до 5 м3/мин</v>
      </c>
      <c r="H14" t="str">
        <f>SmtRes!O11</f>
        <v>маш.-ч</v>
      </c>
      <c r="I14">
        <f>SmtRes!Y11*Source!I34</f>
        <v>137.33279999999999</v>
      </c>
      <c r="J14">
        <f>SmtRes!AO11</f>
        <v>1</v>
      </c>
      <c r="K14">
        <f>SmtRes!AF11</f>
        <v>744.2</v>
      </c>
      <c r="L14">
        <f>SmtRes!DB11</f>
        <v>5894.06</v>
      </c>
      <c r="M14">
        <f>ROUND(ROUND(L14*Source!I34, 6)*1, 2)</f>
        <v>102203</v>
      </c>
      <c r="N14">
        <f>SmtRes!AB11</f>
        <v>744.2</v>
      </c>
      <c r="O14">
        <f>ROUND(ROUND(L14*Source!I34, 6)*SmtRes!DA11, 2)</f>
        <v>102203</v>
      </c>
      <c r="P14">
        <f>SmtRes!AG11</f>
        <v>423.17</v>
      </c>
      <c r="Q14">
        <f>SmtRes!DC11</f>
        <v>3351.51</v>
      </c>
      <c r="R14">
        <f>ROUND(ROUND(Q14*Source!I34, 6)*1, 2)</f>
        <v>58115.18</v>
      </c>
      <c r="S14">
        <f>SmtRes!AC11</f>
        <v>423.17</v>
      </c>
      <c r="T14">
        <f>ROUND(ROUND(Q14*Source!I34, 6)*SmtRes!AK11, 2)</f>
        <v>58115.18</v>
      </c>
      <c r="U14">
        <f>SmtRes!X11</f>
        <v>734322642</v>
      </c>
      <c r="V14">
        <v>158304140</v>
      </c>
      <c r="W14">
        <v>158304140</v>
      </c>
      <c r="X14">
        <v>2</v>
      </c>
    </row>
    <row r="15" spans="1:24" x14ac:dyDescent="0.2">
      <c r="A15">
        <f>Source!A70</f>
        <v>5</v>
      </c>
      <c r="B15">
        <v>70</v>
      </c>
      <c r="G15" t="str">
        <f>Source!G70</f>
        <v>Строительные работы</v>
      </c>
    </row>
    <row r="16" spans="1:24" x14ac:dyDescent="0.2">
      <c r="A16">
        <v>20</v>
      </c>
      <c r="B16">
        <v>23</v>
      </c>
      <c r="C16">
        <v>2</v>
      </c>
      <c r="D16">
        <v>0</v>
      </c>
      <c r="E16">
        <f>SmtRes!AV23</f>
        <v>0</v>
      </c>
      <c r="F16" t="str">
        <f>SmtRes!I23</f>
        <v>22.1-30-1</v>
      </c>
      <c r="G16" t="str">
        <f>SmtRes!K23</f>
        <v>Трамбовки пневматические</v>
      </c>
      <c r="H16" t="str">
        <f>SmtRes!O23</f>
        <v>маш.-ч</v>
      </c>
      <c r="I16">
        <f>SmtRes!Y23*Source!I75</f>
        <v>3.1487999999999996</v>
      </c>
      <c r="J16">
        <f>SmtRes!AO23</f>
        <v>1</v>
      </c>
      <c r="K16">
        <f>SmtRes!AF23</f>
        <v>3.75</v>
      </c>
      <c r="L16">
        <f>SmtRes!DB23</f>
        <v>49.2</v>
      </c>
      <c r="M16">
        <f>ROUND(ROUND(L16*Source!I75, 6)*1, 2)</f>
        <v>11.81</v>
      </c>
      <c r="N16">
        <f>SmtRes!AB23</f>
        <v>3.75</v>
      </c>
      <c r="O16">
        <f>ROUND(ROUND(L16*Source!I75, 6)*SmtRes!DA23, 2)</f>
        <v>11.81</v>
      </c>
      <c r="P16">
        <f>SmtRes!AG23</f>
        <v>2.56</v>
      </c>
      <c r="Q16">
        <f>SmtRes!DC23</f>
        <v>33.590000000000003</v>
      </c>
      <c r="R16">
        <f>ROUND(ROUND(Q16*Source!I75, 6)*1, 2)</f>
        <v>8.06</v>
      </c>
      <c r="S16">
        <f>SmtRes!AC23</f>
        <v>2.56</v>
      </c>
      <c r="T16">
        <f>ROUND(ROUND(Q16*Source!I75, 6)*SmtRes!AK23, 2)</f>
        <v>8.06</v>
      </c>
      <c r="U16">
        <f>SmtRes!X23</f>
        <v>-1383996176</v>
      </c>
      <c r="V16">
        <v>456524966</v>
      </c>
      <c r="W16">
        <v>456524966</v>
      </c>
      <c r="X16">
        <v>2</v>
      </c>
    </row>
    <row r="17" spans="1:24" x14ac:dyDescent="0.2">
      <c r="A17">
        <v>20</v>
      </c>
      <c r="B17">
        <v>22</v>
      </c>
      <c r="C17">
        <v>2</v>
      </c>
      <c r="D17">
        <v>0</v>
      </c>
      <c r="E17">
        <f>SmtRes!AV22</f>
        <v>0</v>
      </c>
      <c r="F17" t="str">
        <f>SmtRes!I22</f>
        <v>22.1-10-5</v>
      </c>
      <c r="G17" t="str">
        <f>SmtRes!K22</f>
        <v>Компрессоры с дизельным двигателем прицепные до 5 м3/мин</v>
      </c>
      <c r="H17" t="str">
        <f>SmtRes!O22</f>
        <v>маш.-ч</v>
      </c>
      <c r="I17">
        <f>SmtRes!Y22*Source!I75</f>
        <v>3.1487999999999996</v>
      </c>
      <c r="J17">
        <f>SmtRes!AO22</f>
        <v>1</v>
      </c>
      <c r="K17">
        <f>SmtRes!AF22</f>
        <v>744.2</v>
      </c>
      <c r="L17">
        <f>SmtRes!DB22</f>
        <v>9763.9</v>
      </c>
      <c r="M17">
        <f>ROUND(ROUND(L17*Source!I75, 6)*1, 2)</f>
        <v>2343.34</v>
      </c>
      <c r="N17">
        <f>SmtRes!AB22</f>
        <v>744.2</v>
      </c>
      <c r="O17">
        <f>ROUND(ROUND(L17*Source!I75, 6)*SmtRes!DA22, 2)</f>
        <v>2343.34</v>
      </c>
      <c r="P17">
        <f>SmtRes!AG22</f>
        <v>423.17</v>
      </c>
      <c r="Q17">
        <f>SmtRes!DC22</f>
        <v>5551.99</v>
      </c>
      <c r="R17">
        <f>ROUND(ROUND(Q17*Source!I75, 6)*1, 2)</f>
        <v>1332.48</v>
      </c>
      <c r="S17">
        <f>SmtRes!AC22</f>
        <v>423.17</v>
      </c>
      <c r="T17">
        <f>ROUND(ROUND(Q17*Source!I75, 6)*SmtRes!AK22, 2)</f>
        <v>1332.48</v>
      </c>
      <c r="U17">
        <f>SmtRes!X22</f>
        <v>734322642</v>
      </c>
      <c r="V17">
        <v>158304140</v>
      </c>
      <c r="W17">
        <v>158304140</v>
      </c>
      <c r="X17">
        <v>2</v>
      </c>
    </row>
    <row r="18" spans="1:24" x14ac:dyDescent="0.2">
      <c r="A18">
        <v>20</v>
      </c>
      <c r="B18">
        <v>27</v>
      </c>
      <c r="C18">
        <v>3</v>
      </c>
      <c r="D18">
        <v>0</v>
      </c>
      <c r="E18">
        <f>SmtRes!AV27</f>
        <v>0</v>
      </c>
      <c r="F18" t="str">
        <f>SmtRes!I27</f>
        <v>21.1-12-11</v>
      </c>
      <c r="G18" t="str">
        <f>SmtRes!K27</f>
        <v>Песок для строительных работ, рядовой</v>
      </c>
      <c r="H18" t="str">
        <f>SmtRes!O27</f>
        <v>м3</v>
      </c>
      <c r="I18">
        <f>SmtRes!Y27*Source!I76</f>
        <v>21.504000000000001</v>
      </c>
      <c r="J18">
        <f>SmtRes!AO27</f>
        <v>1</v>
      </c>
      <c r="K18">
        <f>SmtRes!AE27</f>
        <v>590.78</v>
      </c>
      <c r="L18">
        <f>SmtRes!DB27</f>
        <v>661.67</v>
      </c>
      <c r="M18">
        <f>ROUND(ROUND(L18*Source!I76, 6)*1, 2)</f>
        <v>12704.06</v>
      </c>
      <c r="N18">
        <f>SmtRes!AA27</f>
        <v>590.78</v>
      </c>
      <c r="O18">
        <f>ROUND(ROUND(L18*Source!I76, 6)*SmtRes!DA27, 2)</f>
        <v>12704.06</v>
      </c>
      <c r="P18">
        <f>SmtRes!AG27</f>
        <v>0</v>
      </c>
      <c r="Q18">
        <f>SmtRes!DC27</f>
        <v>0</v>
      </c>
      <c r="R18">
        <f>ROUND(ROUND(Q18*Source!I76, 6)*1, 2)</f>
        <v>0</v>
      </c>
      <c r="S18">
        <f>SmtRes!AC27</f>
        <v>0</v>
      </c>
      <c r="T18">
        <f>ROUND(ROUND(Q18*Source!I76, 6)*SmtRes!AK27, 2)</f>
        <v>0</v>
      </c>
      <c r="U18">
        <f>SmtRes!X27</f>
        <v>-1662970571</v>
      </c>
      <c r="V18">
        <v>496958337</v>
      </c>
      <c r="W18">
        <v>496958337</v>
      </c>
      <c r="X18">
        <v>3</v>
      </c>
    </row>
    <row r="19" spans="1:24" x14ac:dyDescent="0.2">
      <c r="A19">
        <v>20</v>
      </c>
      <c r="B19">
        <v>26</v>
      </c>
      <c r="C19">
        <v>2</v>
      </c>
      <c r="D19">
        <v>0</v>
      </c>
      <c r="E19">
        <f>SmtRes!AV26</f>
        <v>0</v>
      </c>
      <c r="F19" t="str">
        <f>SmtRes!I26</f>
        <v>22.1-30-1</v>
      </c>
      <c r="G19" t="str">
        <f>SmtRes!K26</f>
        <v>Трамбовки пневматические</v>
      </c>
      <c r="H19" t="str">
        <f>SmtRes!O26</f>
        <v>маш.-ч</v>
      </c>
      <c r="I19">
        <f>SmtRes!Y26*Source!I76</f>
        <v>7.2959999999999994</v>
      </c>
      <c r="J19">
        <f>SmtRes!AO26</f>
        <v>1</v>
      </c>
      <c r="K19">
        <f>SmtRes!AF26</f>
        <v>3.75</v>
      </c>
      <c r="L19">
        <f>SmtRes!DB26</f>
        <v>1.43</v>
      </c>
      <c r="M19">
        <f>ROUND(ROUND(L19*Source!I76, 6)*1, 2)</f>
        <v>27.46</v>
      </c>
      <c r="N19">
        <f>SmtRes!AB26</f>
        <v>3.75</v>
      </c>
      <c r="O19">
        <f>ROUND(ROUND(L19*Source!I76, 6)*SmtRes!DA26, 2)</f>
        <v>27.46</v>
      </c>
      <c r="P19">
        <f>SmtRes!AG26</f>
        <v>2.56</v>
      </c>
      <c r="Q19">
        <f>SmtRes!DC26</f>
        <v>0.97</v>
      </c>
      <c r="R19">
        <f>ROUND(ROUND(Q19*Source!I76, 6)*1, 2)</f>
        <v>18.62</v>
      </c>
      <c r="S19">
        <f>SmtRes!AC26</f>
        <v>2.56</v>
      </c>
      <c r="T19">
        <f>ROUND(ROUND(Q19*Source!I76, 6)*SmtRes!AK26, 2)</f>
        <v>18.62</v>
      </c>
      <c r="U19">
        <f>SmtRes!X26</f>
        <v>-1383996176</v>
      </c>
      <c r="V19">
        <v>456524966</v>
      </c>
      <c r="W19">
        <v>456524966</v>
      </c>
      <c r="X19">
        <v>2</v>
      </c>
    </row>
    <row r="20" spans="1:24" x14ac:dyDescent="0.2">
      <c r="A20">
        <v>20</v>
      </c>
      <c r="B20">
        <v>25</v>
      </c>
      <c r="C20">
        <v>2</v>
      </c>
      <c r="D20">
        <v>0</v>
      </c>
      <c r="E20">
        <f>SmtRes!AV25</f>
        <v>0</v>
      </c>
      <c r="F20" t="str">
        <f>SmtRes!I25</f>
        <v>22.1-10-5</v>
      </c>
      <c r="G20" t="str">
        <f>SmtRes!K25</f>
        <v>Компрессоры с дизельным двигателем прицепные до 5 м3/мин</v>
      </c>
      <c r="H20" t="str">
        <f>SmtRes!O25</f>
        <v>маш.-ч</v>
      </c>
      <c r="I20">
        <f>SmtRes!Y25*Source!I76</f>
        <v>7.2959999999999994</v>
      </c>
      <c r="J20">
        <f>SmtRes!AO25</f>
        <v>1</v>
      </c>
      <c r="K20">
        <f>SmtRes!AF25</f>
        <v>744.2</v>
      </c>
      <c r="L20">
        <f>SmtRes!DB25</f>
        <v>282.8</v>
      </c>
      <c r="M20">
        <f>ROUND(ROUND(L20*Source!I76, 6)*1, 2)</f>
        <v>5429.76</v>
      </c>
      <c r="N20">
        <f>SmtRes!AB25</f>
        <v>744.2</v>
      </c>
      <c r="O20">
        <f>ROUND(ROUND(L20*Source!I76, 6)*SmtRes!DA25, 2)</f>
        <v>5429.76</v>
      </c>
      <c r="P20">
        <f>SmtRes!AG25</f>
        <v>423.17</v>
      </c>
      <c r="Q20">
        <f>SmtRes!DC25</f>
        <v>160.80000000000001</v>
      </c>
      <c r="R20">
        <f>ROUND(ROUND(Q20*Source!I76, 6)*1, 2)</f>
        <v>3087.36</v>
      </c>
      <c r="S20">
        <f>SmtRes!AC25</f>
        <v>423.17</v>
      </c>
      <c r="T20">
        <f>ROUND(ROUND(Q20*Source!I76, 6)*SmtRes!AK25, 2)</f>
        <v>3087.36</v>
      </c>
      <c r="U20">
        <f>SmtRes!X25</f>
        <v>734322642</v>
      </c>
      <c r="V20">
        <v>158304140</v>
      </c>
      <c r="W20">
        <v>158304140</v>
      </c>
      <c r="X20">
        <v>2</v>
      </c>
    </row>
    <row r="21" spans="1:24" x14ac:dyDescent="0.2">
      <c r="A21">
        <v>20</v>
      </c>
      <c r="B21">
        <v>30</v>
      </c>
      <c r="C21">
        <v>3</v>
      </c>
      <c r="D21">
        <v>0</v>
      </c>
      <c r="E21">
        <f>SmtRes!AV30</f>
        <v>0</v>
      </c>
      <c r="F21" t="str">
        <f>SmtRes!I30</f>
        <v>21.3-1-69</v>
      </c>
      <c r="G21" t="str">
        <f>SmtRes!K30</f>
        <v>Смеси бетонные, БСГ, тяжелого бетона на гранитном щебне, класс прочности: В15 (М200); П3, фракция 5-20, F50-100, W0-2</v>
      </c>
      <c r="H21" t="str">
        <f>SmtRes!O30</f>
        <v>м3</v>
      </c>
      <c r="I21">
        <f>SmtRes!Y30*Source!I77</f>
        <v>4.2560000000000002</v>
      </c>
      <c r="J21">
        <f>SmtRes!AO30</f>
        <v>1</v>
      </c>
      <c r="K21">
        <f>SmtRes!AE30</f>
        <v>3714.73</v>
      </c>
      <c r="L21">
        <f>SmtRes!DB30</f>
        <v>282.32</v>
      </c>
      <c r="M21">
        <f>ROUND(ROUND(L21*Source!I77, 6)*1, 2)</f>
        <v>15809.92</v>
      </c>
      <c r="N21">
        <f>SmtRes!AA30</f>
        <v>3714.73</v>
      </c>
      <c r="O21">
        <f>ROUND(ROUND(L21*Source!I77, 6)*SmtRes!DA30, 2)</f>
        <v>15809.92</v>
      </c>
      <c r="P21">
        <f>SmtRes!AG30</f>
        <v>0</v>
      </c>
      <c r="Q21">
        <f>SmtRes!DC30</f>
        <v>0</v>
      </c>
      <c r="R21">
        <f>ROUND(ROUND(Q21*Source!I77, 6)*1, 2)</f>
        <v>0</v>
      </c>
      <c r="S21">
        <f>SmtRes!AC30</f>
        <v>0</v>
      </c>
      <c r="T21">
        <f>ROUND(ROUND(Q21*Source!I77, 6)*SmtRes!AK30, 2)</f>
        <v>0</v>
      </c>
      <c r="U21">
        <f>SmtRes!X30</f>
        <v>-697630842</v>
      </c>
      <c r="V21">
        <v>-887866689</v>
      </c>
      <c r="W21">
        <v>-887866689</v>
      </c>
      <c r="X21">
        <v>3</v>
      </c>
    </row>
    <row r="22" spans="1:24" x14ac:dyDescent="0.2">
      <c r="A22">
        <v>20</v>
      </c>
      <c r="B22">
        <v>29</v>
      </c>
      <c r="C22">
        <v>3</v>
      </c>
      <c r="D22">
        <v>0</v>
      </c>
      <c r="E22">
        <f>SmtRes!AV29</f>
        <v>0</v>
      </c>
      <c r="F22" t="str">
        <f>SmtRes!I29</f>
        <v>21.1-2-13</v>
      </c>
      <c r="G22" t="str">
        <f>SmtRes!K29</f>
        <v>Цемент общестроительный, портландцемент общего назначения, марка 400</v>
      </c>
      <c r="H22" t="str">
        <f>SmtRes!O29</f>
        <v>т</v>
      </c>
      <c r="I22">
        <f>SmtRes!Y29*Source!I77</f>
        <v>0.24640000000000001</v>
      </c>
      <c r="J22">
        <f>SmtRes!AO29</f>
        <v>1</v>
      </c>
      <c r="K22">
        <f>SmtRes!AE29</f>
        <v>4207.5</v>
      </c>
      <c r="L22">
        <f>SmtRes!DB29</f>
        <v>18.510000000000002</v>
      </c>
      <c r="M22">
        <f>ROUND(ROUND(L22*Source!I77, 6)*1, 2)</f>
        <v>1036.56</v>
      </c>
      <c r="N22">
        <f>SmtRes!AA29</f>
        <v>4207.5</v>
      </c>
      <c r="O22">
        <f>ROUND(ROUND(L22*Source!I77, 6)*SmtRes!DA29, 2)</f>
        <v>1036.56</v>
      </c>
      <c r="P22">
        <f>SmtRes!AG29</f>
        <v>0</v>
      </c>
      <c r="Q22">
        <f>SmtRes!DC29</f>
        <v>0</v>
      </c>
      <c r="R22">
        <f>ROUND(ROUND(Q22*Source!I77, 6)*1, 2)</f>
        <v>0</v>
      </c>
      <c r="S22">
        <f>SmtRes!AC29</f>
        <v>0</v>
      </c>
      <c r="T22">
        <f>ROUND(ROUND(Q22*Source!I77, 6)*SmtRes!AK29, 2)</f>
        <v>0</v>
      </c>
      <c r="U22">
        <f>SmtRes!X29</f>
        <v>213373920</v>
      </c>
      <c r="V22">
        <v>-1263609757</v>
      </c>
      <c r="W22">
        <v>-1263609757</v>
      </c>
      <c r="X22">
        <v>3</v>
      </c>
    </row>
    <row r="23" spans="1:24" x14ac:dyDescent="0.2">
      <c r="A23">
        <f>Source!A78</f>
        <v>18</v>
      </c>
      <c r="B23">
        <v>78</v>
      </c>
      <c r="C23">
        <v>3</v>
      </c>
      <c r="D23">
        <f>Source!BI78</f>
        <v>4</v>
      </c>
      <c r="E23">
        <f>Source!FS78</f>
        <v>0</v>
      </c>
      <c r="F23" t="str">
        <f>Source!F78</f>
        <v>21.5-3-12</v>
      </c>
      <c r="G23" t="str">
        <f>Source!G78</f>
        <v>Камни бетонные бортовые, марка БР60.20.8</v>
      </c>
      <c r="H23" t="str">
        <f>Source!H78</f>
        <v>м3</v>
      </c>
      <c r="I23">
        <f>Source!I78</f>
        <v>0.7</v>
      </c>
      <c r="J23">
        <v>1</v>
      </c>
      <c r="K23">
        <f>Source!AC78</f>
        <v>9014.9</v>
      </c>
      <c r="M23">
        <f>ROUND(K23*I23, 2)</f>
        <v>6310.43</v>
      </c>
      <c r="N23">
        <f>Source!AC78*IF(Source!BC78&lt;&gt; 0, Source!BC78, 1)</f>
        <v>9014.9</v>
      </c>
      <c r="O23">
        <f>ROUND(N23*I23, 2)</f>
        <v>6310.43</v>
      </c>
      <c r="P23">
        <f>Source!AE78</f>
        <v>0</v>
      </c>
      <c r="R23">
        <f>ROUND(P23*I23, 2)</f>
        <v>0</v>
      </c>
      <c r="S23">
        <f>Source!AE78*IF(Source!BS78&lt;&gt; 0, Source!BS78, 1)</f>
        <v>0</v>
      </c>
      <c r="T23">
        <f>ROUND(S23*I23, 2)</f>
        <v>0</v>
      </c>
      <c r="U23">
        <f>Source!GF78</f>
        <v>858864401</v>
      </c>
      <c r="V23">
        <v>-1801759247</v>
      </c>
      <c r="W23">
        <v>-1801759247</v>
      </c>
      <c r="X23">
        <v>3</v>
      </c>
    </row>
    <row r="24" spans="1:24" x14ac:dyDescent="0.2">
      <c r="A24">
        <v>20</v>
      </c>
      <c r="B24">
        <v>37</v>
      </c>
      <c r="C24">
        <v>3</v>
      </c>
      <c r="D24">
        <v>0</v>
      </c>
      <c r="E24">
        <f>SmtRes!AV37</f>
        <v>0</v>
      </c>
      <c r="F24" t="str">
        <f>SmtRes!I37</f>
        <v>21.1-12-27</v>
      </c>
      <c r="G24" t="str">
        <f>SmtRes!K37</f>
        <v>Щебень из естественного камня для строительных работ, марка 300-200, фракция 40-70 мм</v>
      </c>
      <c r="H24" t="str">
        <f>SmtRes!O37</f>
        <v>м3</v>
      </c>
      <c r="I24">
        <f>SmtRes!Y37*Source!I79</f>
        <v>14.4</v>
      </c>
      <c r="J24">
        <f>SmtRes!AO37</f>
        <v>1</v>
      </c>
      <c r="K24">
        <f>SmtRes!AE37</f>
        <v>1241</v>
      </c>
      <c r="L24">
        <f>SmtRes!DB37</f>
        <v>1241</v>
      </c>
      <c r="M24">
        <f>ROUND(ROUND(L24*Source!I79, 6)*1, 2)</f>
        <v>17870.400000000001</v>
      </c>
      <c r="N24">
        <f>SmtRes!AA37</f>
        <v>1241</v>
      </c>
      <c r="O24">
        <f>ROUND(ROUND(L24*Source!I79, 6)*SmtRes!DA37, 2)</f>
        <v>17870.400000000001</v>
      </c>
      <c r="P24">
        <f>SmtRes!AG37</f>
        <v>0</v>
      </c>
      <c r="Q24">
        <f>SmtRes!DC37</f>
        <v>0</v>
      </c>
      <c r="R24">
        <f>ROUND(ROUND(Q24*Source!I79, 6)*1, 2)</f>
        <v>0</v>
      </c>
      <c r="S24">
        <f>SmtRes!AC37</f>
        <v>0</v>
      </c>
      <c r="T24">
        <f>ROUND(ROUND(Q24*Source!I79, 6)*SmtRes!AK37, 2)</f>
        <v>0</v>
      </c>
      <c r="U24">
        <f>SmtRes!X37</f>
        <v>2054449869</v>
      </c>
      <c r="V24">
        <v>566866900</v>
      </c>
      <c r="W24">
        <v>566866900</v>
      </c>
      <c r="X24">
        <v>3</v>
      </c>
    </row>
    <row r="25" spans="1:24" x14ac:dyDescent="0.2">
      <c r="A25">
        <v>20</v>
      </c>
      <c r="B25">
        <v>36</v>
      </c>
      <c r="C25">
        <v>3</v>
      </c>
      <c r="D25">
        <v>0</v>
      </c>
      <c r="E25">
        <f>SmtRes!AV36</f>
        <v>0</v>
      </c>
      <c r="F25" t="str">
        <f>SmtRes!I36</f>
        <v>21.1-12-25</v>
      </c>
      <c r="G25" t="str">
        <f>SmtRes!K36</f>
        <v>Щебень из естественного камня для строительных работ, марка 300-200, фракция 10-20 мм</v>
      </c>
      <c r="H25" t="str">
        <f>SmtRes!O36</f>
        <v>м3</v>
      </c>
      <c r="I25">
        <f>SmtRes!Y36*Source!I79</f>
        <v>1.296</v>
      </c>
      <c r="J25">
        <f>SmtRes!AO36</f>
        <v>1</v>
      </c>
      <c r="K25">
        <f>SmtRes!AE36</f>
        <v>1436.5</v>
      </c>
      <c r="L25">
        <f>SmtRes!DB36</f>
        <v>129.29</v>
      </c>
      <c r="M25">
        <f>ROUND(ROUND(L25*Source!I79, 6)*1, 2)</f>
        <v>1861.78</v>
      </c>
      <c r="N25">
        <f>SmtRes!AA36</f>
        <v>1436.5</v>
      </c>
      <c r="O25">
        <f>ROUND(ROUND(L25*Source!I79, 6)*SmtRes!DA36, 2)</f>
        <v>1861.78</v>
      </c>
      <c r="P25">
        <f>SmtRes!AG36</f>
        <v>0</v>
      </c>
      <c r="Q25">
        <f>SmtRes!DC36</f>
        <v>0</v>
      </c>
      <c r="R25">
        <f>ROUND(ROUND(Q25*Source!I79, 6)*1, 2)</f>
        <v>0</v>
      </c>
      <c r="S25">
        <f>SmtRes!AC36</f>
        <v>0</v>
      </c>
      <c r="T25">
        <f>ROUND(ROUND(Q25*Source!I79, 6)*SmtRes!AK36, 2)</f>
        <v>0</v>
      </c>
      <c r="U25">
        <f>SmtRes!X36</f>
        <v>1126927627</v>
      </c>
      <c r="V25">
        <v>-1287472248</v>
      </c>
      <c r="W25">
        <v>-1287472248</v>
      </c>
      <c r="X25">
        <v>3</v>
      </c>
    </row>
    <row r="26" spans="1:24" x14ac:dyDescent="0.2">
      <c r="A26">
        <v>20</v>
      </c>
      <c r="B26">
        <v>35</v>
      </c>
      <c r="C26">
        <v>3</v>
      </c>
      <c r="D26">
        <v>0</v>
      </c>
      <c r="E26">
        <f>SmtRes!AV35</f>
        <v>0</v>
      </c>
      <c r="F26" t="str">
        <f>SmtRes!I35</f>
        <v>21.1-12-24</v>
      </c>
      <c r="G26" t="str">
        <f>SmtRes!K35</f>
        <v>Щебень из естественного камня для строительных работ, марка 300-200, фракция 5-10 мм</v>
      </c>
      <c r="H26" t="str">
        <f>SmtRes!O35</f>
        <v>м3</v>
      </c>
      <c r="I26">
        <f>SmtRes!Y35*Source!I79</f>
        <v>2.5920000000000001</v>
      </c>
      <c r="J26">
        <f>SmtRes!AO35</f>
        <v>1</v>
      </c>
      <c r="K26">
        <f>SmtRes!AE35</f>
        <v>1436.5</v>
      </c>
      <c r="L26">
        <f>SmtRes!DB35</f>
        <v>258.57</v>
      </c>
      <c r="M26">
        <f>ROUND(ROUND(L26*Source!I79, 6)*1, 2)</f>
        <v>3723.41</v>
      </c>
      <c r="N26">
        <f>SmtRes!AA35</f>
        <v>1436.5</v>
      </c>
      <c r="O26">
        <f>ROUND(ROUND(L26*Source!I79, 6)*SmtRes!DA35, 2)</f>
        <v>3723.41</v>
      </c>
      <c r="P26">
        <f>SmtRes!AG35</f>
        <v>0</v>
      </c>
      <c r="Q26">
        <f>SmtRes!DC35</f>
        <v>0</v>
      </c>
      <c r="R26">
        <f>ROUND(ROUND(Q26*Source!I79, 6)*1, 2)</f>
        <v>0</v>
      </c>
      <c r="S26">
        <f>SmtRes!AC35</f>
        <v>0</v>
      </c>
      <c r="T26">
        <f>ROUND(ROUND(Q26*Source!I79, 6)*SmtRes!AK35, 2)</f>
        <v>0</v>
      </c>
      <c r="U26">
        <f>SmtRes!X35</f>
        <v>-1397951900</v>
      </c>
      <c r="V26">
        <v>466345056</v>
      </c>
      <c r="W26">
        <v>466345056</v>
      </c>
      <c r="X26">
        <v>3</v>
      </c>
    </row>
    <row r="27" spans="1:24" x14ac:dyDescent="0.2">
      <c r="A27">
        <v>20</v>
      </c>
      <c r="B27">
        <v>34</v>
      </c>
      <c r="C27">
        <v>2</v>
      </c>
      <c r="D27">
        <v>0</v>
      </c>
      <c r="E27">
        <f>SmtRes!AV34</f>
        <v>0</v>
      </c>
      <c r="F27" t="str">
        <f>SmtRes!I34</f>
        <v>22.1-30-1</v>
      </c>
      <c r="G27" t="str">
        <f>SmtRes!K34</f>
        <v>Трамбовки пневматические</v>
      </c>
      <c r="H27" t="str">
        <f>SmtRes!O34</f>
        <v>маш.-ч</v>
      </c>
      <c r="I27">
        <f>SmtRes!Y34*Source!I79</f>
        <v>21.456</v>
      </c>
      <c r="J27">
        <f>SmtRes!AO34</f>
        <v>1</v>
      </c>
      <c r="K27">
        <f>SmtRes!AF34</f>
        <v>3.75</v>
      </c>
      <c r="L27">
        <f>SmtRes!DB34</f>
        <v>5.59</v>
      </c>
      <c r="M27">
        <f>ROUND(ROUND(L27*Source!I79, 6)*1, 2)</f>
        <v>80.5</v>
      </c>
      <c r="N27">
        <f>SmtRes!AB34</f>
        <v>3.75</v>
      </c>
      <c r="O27">
        <f>ROUND(ROUND(L27*Source!I79, 6)*SmtRes!DA34, 2)</f>
        <v>80.5</v>
      </c>
      <c r="P27">
        <f>SmtRes!AG34</f>
        <v>2.56</v>
      </c>
      <c r="Q27">
        <f>SmtRes!DC34</f>
        <v>3.81</v>
      </c>
      <c r="R27">
        <f>ROUND(ROUND(Q27*Source!I79, 6)*1, 2)</f>
        <v>54.86</v>
      </c>
      <c r="S27">
        <f>SmtRes!AC34</f>
        <v>2.56</v>
      </c>
      <c r="T27">
        <f>ROUND(ROUND(Q27*Source!I79, 6)*SmtRes!AK34, 2)</f>
        <v>54.86</v>
      </c>
      <c r="U27">
        <f>SmtRes!X34</f>
        <v>-1383996176</v>
      </c>
      <c r="V27">
        <v>456524966</v>
      </c>
      <c r="W27">
        <v>456524966</v>
      </c>
      <c r="X27">
        <v>2</v>
      </c>
    </row>
    <row r="28" spans="1:24" x14ac:dyDescent="0.2">
      <c r="A28">
        <v>20</v>
      </c>
      <c r="B28">
        <v>33</v>
      </c>
      <c r="C28">
        <v>2</v>
      </c>
      <c r="D28">
        <v>0</v>
      </c>
      <c r="E28">
        <f>SmtRes!AV33</f>
        <v>0</v>
      </c>
      <c r="F28" t="str">
        <f>SmtRes!I33</f>
        <v>22.1-10-5</v>
      </c>
      <c r="G28" t="str">
        <f>SmtRes!K33</f>
        <v>Компрессоры с дизельным двигателем прицепные до 5 м3/мин</v>
      </c>
      <c r="H28" t="str">
        <f>SmtRes!O33</f>
        <v>маш.-ч</v>
      </c>
      <c r="I28">
        <f>SmtRes!Y33*Source!I79</f>
        <v>21.456</v>
      </c>
      <c r="J28">
        <f>SmtRes!AO33</f>
        <v>1</v>
      </c>
      <c r="K28">
        <f>SmtRes!AF33</f>
        <v>744.2</v>
      </c>
      <c r="L28">
        <f>SmtRes!DB33</f>
        <v>1108.8599999999999</v>
      </c>
      <c r="M28">
        <f>ROUND(ROUND(L28*Source!I79, 6)*1, 2)</f>
        <v>15967.58</v>
      </c>
      <c r="N28">
        <f>SmtRes!AB33</f>
        <v>744.2</v>
      </c>
      <c r="O28">
        <f>ROUND(ROUND(L28*Source!I79, 6)*SmtRes!DA33, 2)</f>
        <v>15967.58</v>
      </c>
      <c r="P28">
        <f>SmtRes!AG33</f>
        <v>423.17</v>
      </c>
      <c r="Q28">
        <f>SmtRes!DC33</f>
        <v>630.52</v>
      </c>
      <c r="R28">
        <f>ROUND(ROUND(Q28*Source!I79, 6)*1, 2)</f>
        <v>9079.49</v>
      </c>
      <c r="S28">
        <f>SmtRes!AC33</f>
        <v>423.17</v>
      </c>
      <c r="T28">
        <f>ROUND(ROUND(Q28*Source!I79, 6)*SmtRes!AK33, 2)</f>
        <v>9079.49</v>
      </c>
      <c r="U28">
        <f>SmtRes!X33</f>
        <v>734322642</v>
      </c>
      <c r="V28">
        <v>158304140</v>
      </c>
      <c r="W28">
        <v>158304140</v>
      </c>
      <c r="X28">
        <v>2</v>
      </c>
    </row>
    <row r="29" spans="1:24" x14ac:dyDescent="0.2">
      <c r="A29">
        <v>20</v>
      </c>
      <c r="B29">
        <v>44</v>
      </c>
      <c r="C29">
        <v>3</v>
      </c>
      <c r="D29">
        <v>0</v>
      </c>
      <c r="E29">
        <f>SmtRes!AV44</f>
        <v>0</v>
      </c>
      <c r="F29" t="str">
        <f>SmtRes!I44</f>
        <v>21.3-3-19</v>
      </c>
      <c r="G29" t="str">
        <f>SmtRes!K44</f>
        <v>Смеси асфальтобетонные дорожные горячие мелкозернистые, марка II, тип В</v>
      </c>
      <c r="H29" t="str">
        <f>SmtRes!O44</f>
        <v>т</v>
      </c>
      <c r="I29">
        <f>SmtRes!Y44*Source!I80</f>
        <v>5.5583999999999998</v>
      </c>
      <c r="J29">
        <f>SmtRes!AO44</f>
        <v>1</v>
      </c>
      <c r="K29">
        <f>SmtRes!AE44</f>
        <v>2562.79</v>
      </c>
      <c r="L29">
        <f>SmtRes!DB44</f>
        <v>14838.55</v>
      </c>
      <c r="M29">
        <f>ROUND(ROUND(L29*Source!I80, 6)*1, 2)</f>
        <v>14245.01</v>
      </c>
      <c r="N29">
        <f>SmtRes!AA44</f>
        <v>2562.79</v>
      </c>
      <c r="O29">
        <f>ROUND(ROUND(L29*Source!I80, 6)*SmtRes!DA44, 2)</f>
        <v>14245.01</v>
      </c>
      <c r="P29">
        <f>SmtRes!AG44</f>
        <v>0</v>
      </c>
      <c r="Q29">
        <f>SmtRes!DC44</f>
        <v>0</v>
      </c>
      <c r="R29">
        <f>ROUND(ROUND(Q29*Source!I80, 6)*1, 2)</f>
        <v>0</v>
      </c>
      <c r="S29">
        <f>SmtRes!AC44</f>
        <v>0</v>
      </c>
      <c r="T29">
        <f>ROUND(ROUND(Q29*Source!I80, 6)*SmtRes!AK44, 2)</f>
        <v>0</v>
      </c>
      <c r="U29">
        <f>SmtRes!X44</f>
        <v>1103439754</v>
      </c>
      <c r="V29">
        <v>1846978656</v>
      </c>
      <c r="W29">
        <v>1846978656</v>
      </c>
      <c r="X29">
        <v>3</v>
      </c>
    </row>
    <row r="30" spans="1:24" x14ac:dyDescent="0.2">
      <c r="A30">
        <v>20</v>
      </c>
      <c r="B30">
        <v>43</v>
      </c>
      <c r="C30">
        <v>3</v>
      </c>
      <c r="D30">
        <v>0</v>
      </c>
      <c r="E30">
        <f>SmtRes!AV43</f>
        <v>0</v>
      </c>
      <c r="F30" t="str">
        <f>SmtRes!I43</f>
        <v>21.1-9-13</v>
      </c>
      <c r="G30" t="str">
        <f>SmtRes!K43</f>
        <v>Бруски хвойных пород обрезные, длина 2-6,5 м, сорт III, толщина 50-60 мм</v>
      </c>
      <c r="H30" t="str">
        <f>SmtRes!O43</f>
        <v>м3</v>
      </c>
      <c r="I30">
        <f>SmtRes!Y43*Source!I80</f>
        <v>9.5999999999999992E-3</v>
      </c>
      <c r="J30">
        <f>SmtRes!AO43</f>
        <v>1</v>
      </c>
      <c r="K30">
        <f>SmtRes!AE43</f>
        <v>7064.05</v>
      </c>
      <c r="L30">
        <f>SmtRes!DB43</f>
        <v>70.64</v>
      </c>
      <c r="M30">
        <f>ROUND(ROUND(L30*Source!I80, 6)*1, 2)</f>
        <v>67.81</v>
      </c>
      <c r="N30">
        <f>SmtRes!AA43</f>
        <v>7064.05</v>
      </c>
      <c r="O30">
        <f>ROUND(ROUND(L30*Source!I80, 6)*SmtRes!DA43, 2)</f>
        <v>67.81</v>
      </c>
      <c r="P30">
        <f>SmtRes!AG43</f>
        <v>0</v>
      </c>
      <c r="Q30">
        <f>SmtRes!DC43</f>
        <v>0</v>
      </c>
      <c r="R30">
        <f>ROUND(ROUND(Q30*Source!I80, 6)*1, 2)</f>
        <v>0</v>
      </c>
      <c r="S30">
        <f>SmtRes!AC43</f>
        <v>0</v>
      </c>
      <c r="T30">
        <f>ROUND(ROUND(Q30*Source!I80, 6)*SmtRes!AK43, 2)</f>
        <v>0</v>
      </c>
      <c r="U30">
        <f>SmtRes!X43</f>
        <v>-1674634845</v>
      </c>
      <c r="V30">
        <v>1332636129</v>
      </c>
      <c r="W30">
        <v>1332636129</v>
      </c>
      <c r="X30">
        <v>3</v>
      </c>
    </row>
    <row r="31" spans="1:24" x14ac:dyDescent="0.2">
      <c r="A31">
        <v>20</v>
      </c>
      <c r="B31">
        <v>42</v>
      </c>
      <c r="C31">
        <v>3</v>
      </c>
      <c r="D31">
        <v>0</v>
      </c>
      <c r="E31">
        <f>SmtRes!AV42</f>
        <v>0</v>
      </c>
      <c r="F31" t="str">
        <f>SmtRes!I42</f>
        <v>21.1-1-27</v>
      </c>
      <c r="G31" t="str">
        <f>SmtRes!K42</f>
        <v>Мастика герметизирующая нетвердеющая, строительная, марка "Праймер"</v>
      </c>
      <c r="H31" t="str">
        <f>SmtRes!O42</f>
        <v>т</v>
      </c>
      <c r="I31">
        <f>SmtRes!Y42*Source!I80</f>
        <v>6.6240000000000007E-2</v>
      </c>
      <c r="J31">
        <f>SmtRes!AO42</f>
        <v>1</v>
      </c>
      <c r="K31">
        <f>SmtRes!AE42</f>
        <v>36258.75</v>
      </c>
      <c r="L31">
        <f>SmtRes!DB42</f>
        <v>2501.85</v>
      </c>
      <c r="M31">
        <f>ROUND(ROUND(L31*Source!I80, 6)*1, 2)</f>
        <v>2401.7800000000002</v>
      </c>
      <c r="N31">
        <f>SmtRes!AA42</f>
        <v>36258.75</v>
      </c>
      <c r="O31">
        <f>ROUND(ROUND(L31*Source!I80, 6)*SmtRes!DA42, 2)</f>
        <v>2401.7800000000002</v>
      </c>
      <c r="P31">
        <f>SmtRes!AG42</f>
        <v>0</v>
      </c>
      <c r="Q31">
        <f>SmtRes!DC42</f>
        <v>0</v>
      </c>
      <c r="R31">
        <f>ROUND(ROUND(Q31*Source!I80, 6)*1, 2)</f>
        <v>0</v>
      </c>
      <c r="S31">
        <f>SmtRes!AC42</f>
        <v>0</v>
      </c>
      <c r="T31">
        <f>ROUND(ROUND(Q31*Source!I80, 6)*SmtRes!AK42, 2)</f>
        <v>0</v>
      </c>
      <c r="U31">
        <f>SmtRes!X42</f>
        <v>1123680579</v>
      </c>
      <c r="V31">
        <v>1595178378</v>
      </c>
      <c r="W31">
        <v>1595178378</v>
      </c>
      <c r="X31">
        <v>3</v>
      </c>
    </row>
    <row r="32" spans="1:24" x14ac:dyDescent="0.2">
      <c r="A32">
        <v>20</v>
      </c>
      <c r="B32">
        <v>41</v>
      </c>
      <c r="C32">
        <v>2</v>
      </c>
      <c r="D32">
        <v>0</v>
      </c>
      <c r="E32">
        <f>SmtRes!AV41</f>
        <v>0</v>
      </c>
      <c r="F32" t="str">
        <f>SmtRes!I41</f>
        <v>22.1-30-1</v>
      </c>
      <c r="G32" t="str">
        <f>SmtRes!K41</f>
        <v>Трамбовки пневматические</v>
      </c>
      <c r="H32" t="str">
        <f>SmtRes!O41</f>
        <v>маш.-ч</v>
      </c>
      <c r="I32">
        <f>SmtRes!Y41*Source!I80</f>
        <v>1.0367999999999999</v>
      </c>
      <c r="J32">
        <f>SmtRes!AO41</f>
        <v>1</v>
      </c>
      <c r="K32">
        <f>SmtRes!AF41</f>
        <v>3.75</v>
      </c>
      <c r="L32">
        <f>SmtRes!DB41</f>
        <v>4.05</v>
      </c>
      <c r="M32">
        <f>ROUND(ROUND(L32*Source!I80, 6)*1, 2)</f>
        <v>3.89</v>
      </c>
      <c r="N32">
        <f>SmtRes!AB41</f>
        <v>3.75</v>
      </c>
      <c r="O32">
        <f>ROUND(ROUND(L32*Source!I80, 6)*SmtRes!DA41, 2)</f>
        <v>3.89</v>
      </c>
      <c r="P32">
        <f>SmtRes!AG41</f>
        <v>2.56</v>
      </c>
      <c r="Q32">
        <f>SmtRes!DC41</f>
        <v>2.76</v>
      </c>
      <c r="R32">
        <f>ROUND(ROUND(Q32*Source!I80, 6)*1, 2)</f>
        <v>2.65</v>
      </c>
      <c r="S32">
        <f>SmtRes!AC41</f>
        <v>2.56</v>
      </c>
      <c r="T32">
        <f>ROUND(ROUND(Q32*Source!I80, 6)*SmtRes!AK41, 2)</f>
        <v>2.65</v>
      </c>
      <c r="U32">
        <f>SmtRes!X41</f>
        <v>-1383996176</v>
      </c>
      <c r="V32">
        <v>456524966</v>
      </c>
      <c r="W32">
        <v>456524966</v>
      </c>
      <c r="X32">
        <v>2</v>
      </c>
    </row>
    <row r="33" spans="1:24" x14ac:dyDescent="0.2">
      <c r="A33">
        <v>20</v>
      </c>
      <c r="B33">
        <v>40</v>
      </c>
      <c r="C33">
        <v>2</v>
      </c>
      <c r="D33">
        <v>0</v>
      </c>
      <c r="E33">
        <f>SmtRes!AV40</f>
        <v>0</v>
      </c>
      <c r="F33" t="str">
        <f>SmtRes!I40</f>
        <v>22.1-14-6</v>
      </c>
      <c r="G33" t="str">
        <f>SmtRes!K40</f>
        <v>Агрегаты для подачи грунтовки</v>
      </c>
      <c r="H33" t="str">
        <f>SmtRes!O40</f>
        <v>маш.-ч</v>
      </c>
      <c r="I33">
        <f>SmtRes!Y40*Source!I80</f>
        <v>0.77760000000000007</v>
      </c>
      <c r="J33">
        <f>SmtRes!AO40</f>
        <v>1</v>
      </c>
      <c r="K33">
        <f>SmtRes!AF40</f>
        <v>1977.07</v>
      </c>
      <c r="L33">
        <f>SmtRes!DB40</f>
        <v>1601.43</v>
      </c>
      <c r="M33">
        <f>ROUND(ROUND(L33*Source!I80, 6)*1, 2)</f>
        <v>1537.37</v>
      </c>
      <c r="N33">
        <f>SmtRes!AB40</f>
        <v>1977.07</v>
      </c>
      <c r="O33">
        <f>ROUND(ROUND(L33*Source!I80, 6)*SmtRes!DA40, 2)</f>
        <v>1537.37</v>
      </c>
      <c r="P33">
        <f>SmtRes!AG40</f>
        <v>1200.6500000000001</v>
      </c>
      <c r="Q33">
        <f>SmtRes!DC40</f>
        <v>972.53</v>
      </c>
      <c r="R33">
        <f>ROUND(ROUND(Q33*Source!I80, 6)*1, 2)</f>
        <v>933.63</v>
      </c>
      <c r="S33">
        <f>SmtRes!AC40</f>
        <v>1200.6500000000001</v>
      </c>
      <c r="T33">
        <f>ROUND(ROUND(Q33*Source!I80, 6)*SmtRes!AK40, 2)</f>
        <v>933.63</v>
      </c>
      <c r="U33">
        <f>SmtRes!X40</f>
        <v>831329057</v>
      </c>
      <c r="V33">
        <v>1723114365</v>
      </c>
      <c r="W33">
        <v>1723114365</v>
      </c>
      <c r="X33">
        <v>2</v>
      </c>
    </row>
    <row r="34" spans="1:24" x14ac:dyDescent="0.2">
      <c r="A34">
        <v>20</v>
      </c>
      <c r="B34">
        <v>39</v>
      </c>
      <c r="C34">
        <v>2</v>
      </c>
      <c r="D34">
        <v>0</v>
      </c>
      <c r="E34">
        <f>SmtRes!AV39</f>
        <v>0</v>
      </c>
      <c r="F34" t="str">
        <f>SmtRes!I39</f>
        <v>22.1-10-5</v>
      </c>
      <c r="G34" t="str">
        <f>SmtRes!K39</f>
        <v>Компрессоры с дизельным двигателем прицепные до 5 м3/мин</v>
      </c>
      <c r="H34" t="str">
        <f>SmtRes!O39</f>
        <v>маш.-ч</v>
      </c>
      <c r="I34">
        <f>SmtRes!Y39*Source!I80</f>
        <v>0.52800000000000002</v>
      </c>
      <c r="J34">
        <f>SmtRes!AO39</f>
        <v>1</v>
      </c>
      <c r="K34">
        <f>SmtRes!AF39</f>
        <v>744.2</v>
      </c>
      <c r="L34">
        <f>SmtRes!DB39</f>
        <v>409.31</v>
      </c>
      <c r="M34">
        <f>ROUND(ROUND(L34*Source!I80, 6)*1, 2)</f>
        <v>392.94</v>
      </c>
      <c r="N34">
        <f>SmtRes!AB39</f>
        <v>744.2</v>
      </c>
      <c r="O34">
        <f>ROUND(ROUND(L34*Source!I80, 6)*SmtRes!DA39, 2)</f>
        <v>392.94</v>
      </c>
      <c r="P34">
        <f>SmtRes!AG39</f>
        <v>423.17</v>
      </c>
      <c r="Q34">
        <f>SmtRes!DC39</f>
        <v>232.74</v>
      </c>
      <c r="R34">
        <f>ROUND(ROUND(Q34*Source!I80, 6)*1, 2)</f>
        <v>223.43</v>
      </c>
      <c r="S34">
        <f>SmtRes!AC39</f>
        <v>423.17</v>
      </c>
      <c r="T34">
        <f>ROUND(ROUND(Q34*Source!I80, 6)*SmtRes!AK39, 2)</f>
        <v>223.43</v>
      </c>
      <c r="U34">
        <f>SmtRes!X39</f>
        <v>734322642</v>
      </c>
      <c r="V34">
        <v>158304140</v>
      </c>
      <c r="W34">
        <v>158304140</v>
      </c>
      <c r="X34">
        <v>2</v>
      </c>
    </row>
    <row r="35" spans="1:24" x14ac:dyDescent="0.2">
      <c r="A35">
        <v>20</v>
      </c>
      <c r="B35">
        <v>48</v>
      </c>
      <c r="C35">
        <v>3</v>
      </c>
      <c r="D35">
        <v>0</v>
      </c>
      <c r="E35">
        <f>SmtRes!AV48</f>
        <v>0</v>
      </c>
      <c r="F35" t="str">
        <f>SmtRes!I48</f>
        <v>21.3-3-19</v>
      </c>
      <c r="G35" t="str">
        <f>SmtRes!K48</f>
        <v>Смеси асфальтобетонные дорожные горячие мелкозернистые, марка II, тип В</v>
      </c>
      <c r="H35" t="str">
        <f>SmtRes!O48</f>
        <v>т</v>
      </c>
      <c r="I35">
        <f>SmtRes!Y48*Source!I81</f>
        <v>1.1135999999999999</v>
      </c>
      <c r="J35">
        <f>SmtRes!AO48</f>
        <v>1</v>
      </c>
      <c r="K35">
        <f>SmtRes!AE48</f>
        <v>2562.79</v>
      </c>
      <c r="L35">
        <f>SmtRes!DB48</f>
        <v>2972.84</v>
      </c>
      <c r="M35">
        <f>ROUND(ROUND(L35*Source!I81, 6)*1, 2)</f>
        <v>2853.93</v>
      </c>
      <c r="N35">
        <f>SmtRes!AA48</f>
        <v>2562.79</v>
      </c>
      <c r="O35">
        <f>ROUND(ROUND(L35*Source!I81, 6)*SmtRes!DA48, 2)</f>
        <v>2853.93</v>
      </c>
      <c r="P35">
        <f>SmtRes!AG48</f>
        <v>0</v>
      </c>
      <c r="Q35">
        <f>SmtRes!DC48</f>
        <v>0</v>
      </c>
      <c r="R35">
        <f>ROUND(ROUND(Q35*Source!I81, 6)*1, 2)</f>
        <v>0</v>
      </c>
      <c r="S35">
        <f>SmtRes!AC48</f>
        <v>0</v>
      </c>
      <c r="T35">
        <f>ROUND(ROUND(Q35*Source!I81, 6)*SmtRes!AK48, 2)</f>
        <v>0</v>
      </c>
      <c r="U35">
        <f>SmtRes!X48</f>
        <v>1103439754</v>
      </c>
      <c r="V35">
        <v>1846978656</v>
      </c>
      <c r="W35">
        <v>1846978656</v>
      </c>
      <c r="X35">
        <v>3</v>
      </c>
    </row>
    <row r="36" spans="1:24" x14ac:dyDescent="0.2">
      <c r="A36">
        <v>20</v>
      </c>
      <c r="B36">
        <v>47</v>
      </c>
      <c r="C36">
        <v>2</v>
      </c>
      <c r="D36">
        <v>0</v>
      </c>
      <c r="E36">
        <f>SmtRes!AV47</f>
        <v>0</v>
      </c>
      <c r="F36" t="str">
        <f>SmtRes!I47</f>
        <v>22.1-30-1</v>
      </c>
      <c r="G36" t="str">
        <f>SmtRes!K47</f>
        <v>Трамбовки пневматические</v>
      </c>
      <c r="H36" t="str">
        <f>SmtRes!O47</f>
        <v>маш.-ч</v>
      </c>
      <c r="I36">
        <f>SmtRes!Y47*Source!I81</f>
        <v>0.26880000000000004</v>
      </c>
      <c r="J36">
        <f>SmtRes!AO47</f>
        <v>1</v>
      </c>
      <c r="K36">
        <f>SmtRes!AF47</f>
        <v>3.75</v>
      </c>
      <c r="L36">
        <f>SmtRes!DB47</f>
        <v>1.05</v>
      </c>
      <c r="M36">
        <f>ROUND(ROUND(L36*Source!I81, 6)*1, 2)</f>
        <v>1.01</v>
      </c>
      <c r="N36">
        <f>SmtRes!AB47</f>
        <v>3.75</v>
      </c>
      <c r="O36">
        <f>ROUND(ROUND(L36*Source!I81, 6)*SmtRes!DA47, 2)</f>
        <v>1.01</v>
      </c>
      <c r="P36">
        <f>SmtRes!AG47</f>
        <v>2.56</v>
      </c>
      <c r="Q36">
        <f>SmtRes!DC47</f>
        <v>0.72</v>
      </c>
      <c r="R36">
        <f>ROUND(ROUND(Q36*Source!I81, 6)*1, 2)</f>
        <v>0.69</v>
      </c>
      <c r="S36">
        <f>SmtRes!AC47</f>
        <v>2.56</v>
      </c>
      <c r="T36">
        <f>ROUND(ROUND(Q36*Source!I81, 6)*SmtRes!AK47, 2)</f>
        <v>0.69</v>
      </c>
      <c r="U36">
        <f>SmtRes!X47</f>
        <v>-1383996176</v>
      </c>
      <c r="V36">
        <v>456524966</v>
      </c>
      <c r="W36">
        <v>456524966</v>
      </c>
      <c r="X36">
        <v>2</v>
      </c>
    </row>
    <row r="37" spans="1:24" x14ac:dyDescent="0.2">
      <c r="A37">
        <v>20</v>
      </c>
      <c r="B37">
        <v>46</v>
      </c>
      <c r="C37">
        <v>2</v>
      </c>
      <c r="D37">
        <v>0</v>
      </c>
      <c r="E37">
        <f>SmtRes!AV46</f>
        <v>0</v>
      </c>
      <c r="F37" t="str">
        <f>SmtRes!I46</f>
        <v>22.1-10-5</v>
      </c>
      <c r="G37" t="str">
        <f>SmtRes!K46</f>
        <v>Компрессоры с дизельным двигателем прицепные до 5 м3/мин</v>
      </c>
      <c r="H37" t="str">
        <f>SmtRes!O46</f>
        <v>маш.-ч</v>
      </c>
      <c r="I37">
        <f>SmtRes!Y46*Source!I81</f>
        <v>0.13440000000000002</v>
      </c>
      <c r="J37">
        <f>SmtRes!AO46</f>
        <v>1</v>
      </c>
      <c r="K37">
        <f>SmtRes!AF46</f>
        <v>744.2</v>
      </c>
      <c r="L37">
        <f>SmtRes!DB46</f>
        <v>104.19</v>
      </c>
      <c r="M37">
        <f>ROUND(ROUND(L37*Source!I81, 6)*1, 2)</f>
        <v>100.02</v>
      </c>
      <c r="N37">
        <f>SmtRes!AB46</f>
        <v>744.2</v>
      </c>
      <c r="O37">
        <f>ROUND(ROUND(L37*Source!I81, 6)*SmtRes!DA46, 2)</f>
        <v>100.02</v>
      </c>
      <c r="P37">
        <f>SmtRes!AG46</f>
        <v>423.17</v>
      </c>
      <c r="Q37">
        <f>SmtRes!DC46</f>
        <v>59.24</v>
      </c>
      <c r="R37">
        <f>ROUND(ROUND(Q37*Source!I81, 6)*1, 2)</f>
        <v>56.87</v>
      </c>
      <c r="S37">
        <f>SmtRes!AC46</f>
        <v>423.17</v>
      </c>
      <c r="T37">
        <f>ROUND(ROUND(Q37*Source!I81, 6)*SmtRes!AK46, 2)</f>
        <v>56.87</v>
      </c>
      <c r="U37">
        <f>SmtRes!X46</f>
        <v>734322642</v>
      </c>
      <c r="V37">
        <v>158304140</v>
      </c>
      <c r="W37">
        <v>158304140</v>
      </c>
      <c r="X37">
        <v>2</v>
      </c>
    </row>
    <row r="38" spans="1:24" x14ac:dyDescent="0.2">
      <c r="A38">
        <v>20</v>
      </c>
      <c r="B38">
        <v>58</v>
      </c>
      <c r="C38">
        <v>3</v>
      </c>
      <c r="D38">
        <v>0</v>
      </c>
      <c r="E38">
        <f>SmtRes!AV58</f>
        <v>0</v>
      </c>
      <c r="F38" t="str">
        <f>SmtRes!I58</f>
        <v>21.1-6-101</v>
      </c>
      <c r="G38" t="str">
        <f>SmtRes!K58</f>
        <v>Пигменты сухие для красок, кислотный желтый</v>
      </c>
      <c r="H38" t="str">
        <f>SmtRes!O58</f>
        <v>т</v>
      </c>
      <c r="I38">
        <f>SmtRes!Y58*Source!I82</f>
        <v>5.0399999999999993E-2</v>
      </c>
      <c r="J38">
        <f>SmtRes!AO58</f>
        <v>1</v>
      </c>
      <c r="K38">
        <f>SmtRes!AE58</f>
        <v>748299.67</v>
      </c>
      <c r="L38">
        <f>SmtRes!DB58</f>
        <v>39285.730000000003</v>
      </c>
      <c r="M38">
        <f>ROUND(ROUND(L38*Source!I82, 6)*1, 2)</f>
        <v>37714.300000000003</v>
      </c>
      <c r="N38">
        <f>SmtRes!AA58</f>
        <v>748299.67</v>
      </c>
      <c r="O38">
        <f>ROUND(ROUND(L38*Source!I82, 6)*SmtRes!DA58, 2)</f>
        <v>37714.300000000003</v>
      </c>
      <c r="P38">
        <f>SmtRes!AG58</f>
        <v>0</v>
      </c>
      <c r="Q38">
        <f>SmtRes!DC58</f>
        <v>0</v>
      </c>
      <c r="R38">
        <f>ROUND(ROUND(Q38*Source!I82, 6)*1, 2)</f>
        <v>0</v>
      </c>
      <c r="S38">
        <f>SmtRes!AC58</f>
        <v>0</v>
      </c>
      <c r="T38">
        <f>ROUND(ROUND(Q38*Source!I82, 6)*SmtRes!AK58, 2)</f>
        <v>0</v>
      </c>
      <c r="U38">
        <f>SmtRes!X58</f>
        <v>-629368275</v>
      </c>
      <c r="V38">
        <v>-308535249</v>
      </c>
      <c r="W38">
        <v>-308535249</v>
      </c>
      <c r="X38">
        <v>3</v>
      </c>
    </row>
    <row r="39" spans="1:24" x14ac:dyDescent="0.2">
      <c r="A39">
        <v>20</v>
      </c>
      <c r="B39">
        <v>57</v>
      </c>
      <c r="C39">
        <v>3</v>
      </c>
      <c r="D39">
        <v>0</v>
      </c>
      <c r="E39">
        <f>SmtRes!AV57</f>
        <v>0</v>
      </c>
      <c r="F39" t="str">
        <f>SmtRes!I57</f>
        <v>21.1-25-776</v>
      </c>
      <c r="G39" t="str">
        <f>SmtRes!K57</f>
        <v>Средство связующее универсальное полиуретановое на основе резиновой и каучуковой крошки для устройства высокопрочных эластичных покрытий</v>
      </c>
      <c r="H39" t="str">
        <f>SmtRes!O57</f>
        <v>кг</v>
      </c>
      <c r="I39">
        <f>SmtRes!Y57*Source!I82</f>
        <v>231.84</v>
      </c>
      <c r="J39">
        <f>SmtRes!AO57</f>
        <v>1</v>
      </c>
      <c r="K39">
        <f>SmtRes!AE57</f>
        <v>202.34</v>
      </c>
      <c r="L39">
        <f>SmtRes!DB57</f>
        <v>48865.11</v>
      </c>
      <c r="M39">
        <f>ROUND(ROUND(L39*Source!I82, 6)*1, 2)</f>
        <v>46910.51</v>
      </c>
      <c r="N39">
        <f>SmtRes!AA57</f>
        <v>202.34</v>
      </c>
      <c r="O39">
        <f>ROUND(ROUND(L39*Source!I82, 6)*SmtRes!DA57, 2)</f>
        <v>46910.51</v>
      </c>
      <c r="P39">
        <f>SmtRes!AG57</f>
        <v>0</v>
      </c>
      <c r="Q39">
        <f>SmtRes!DC57</f>
        <v>0</v>
      </c>
      <c r="R39">
        <f>ROUND(ROUND(Q39*Source!I82, 6)*1, 2)</f>
        <v>0</v>
      </c>
      <c r="S39">
        <f>SmtRes!AC57</f>
        <v>0</v>
      </c>
      <c r="T39">
        <f>ROUND(ROUND(Q39*Source!I82, 6)*SmtRes!AK57, 2)</f>
        <v>0</v>
      </c>
      <c r="U39">
        <f>SmtRes!X57</f>
        <v>1434584530</v>
      </c>
      <c r="V39">
        <v>2130616076</v>
      </c>
      <c r="W39">
        <v>2130616076</v>
      </c>
      <c r="X39">
        <v>3</v>
      </c>
    </row>
    <row r="40" spans="1:24" x14ac:dyDescent="0.2">
      <c r="A40">
        <v>20</v>
      </c>
      <c r="B40">
        <v>56</v>
      </c>
      <c r="C40">
        <v>3</v>
      </c>
      <c r="D40">
        <v>0</v>
      </c>
      <c r="E40">
        <f>SmtRes!AV56</f>
        <v>0</v>
      </c>
      <c r="F40" t="str">
        <f>SmtRes!I56</f>
        <v>21.1-25-769</v>
      </c>
      <c r="G40" t="str">
        <f>SmtRes!K56</f>
        <v>Крошка резиновая гранулированная, фракция 2-3 мм</v>
      </c>
      <c r="H40" t="str">
        <f>SmtRes!O56</f>
        <v>кг</v>
      </c>
      <c r="I40">
        <f>SmtRes!Y56*Source!I82</f>
        <v>705.6</v>
      </c>
      <c r="J40">
        <f>SmtRes!AO56</f>
        <v>1</v>
      </c>
      <c r="K40">
        <f>SmtRes!AE56</f>
        <v>17.77</v>
      </c>
      <c r="L40">
        <f>SmtRes!DB56</f>
        <v>13060.95</v>
      </c>
      <c r="M40">
        <f>ROUND(ROUND(L40*Source!I82, 6)*1, 2)</f>
        <v>12538.51</v>
      </c>
      <c r="N40">
        <f>SmtRes!AA56</f>
        <v>17.77</v>
      </c>
      <c r="O40">
        <f>ROUND(ROUND(L40*Source!I82, 6)*SmtRes!DA56, 2)</f>
        <v>12538.51</v>
      </c>
      <c r="P40">
        <f>SmtRes!AG56</f>
        <v>0</v>
      </c>
      <c r="Q40">
        <f>SmtRes!DC56</f>
        <v>0</v>
      </c>
      <c r="R40">
        <f>ROUND(ROUND(Q40*Source!I82, 6)*1, 2)</f>
        <v>0</v>
      </c>
      <c r="S40">
        <f>SmtRes!AC56</f>
        <v>0</v>
      </c>
      <c r="T40">
        <f>ROUND(ROUND(Q40*Source!I82, 6)*SmtRes!AK56, 2)</f>
        <v>0</v>
      </c>
      <c r="U40">
        <f>SmtRes!X56</f>
        <v>-78256104</v>
      </c>
      <c r="V40">
        <v>-735317913</v>
      </c>
      <c r="W40">
        <v>-735317913</v>
      </c>
      <c r="X40">
        <v>3</v>
      </c>
    </row>
    <row r="41" spans="1:24" x14ac:dyDescent="0.2">
      <c r="A41">
        <v>20</v>
      </c>
      <c r="B41">
        <v>55</v>
      </c>
      <c r="C41">
        <v>3</v>
      </c>
      <c r="D41">
        <v>0</v>
      </c>
      <c r="E41">
        <f>SmtRes!AV55</f>
        <v>0</v>
      </c>
      <c r="F41" t="str">
        <f>SmtRes!I55</f>
        <v>21.1-25-343</v>
      </c>
      <c r="G41" t="str">
        <f>SmtRes!K55</f>
        <v>Скипидар живичный</v>
      </c>
      <c r="H41" t="str">
        <f>SmtRes!O55</f>
        <v>т</v>
      </c>
      <c r="I41">
        <f>SmtRes!Y55*Source!I82</f>
        <v>3.0239999999999998E-3</v>
      </c>
      <c r="J41">
        <f>SmtRes!AO55</f>
        <v>1</v>
      </c>
      <c r="K41">
        <f>SmtRes!AE55</f>
        <v>343020.03</v>
      </c>
      <c r="L41">
        <f>SmtRes!DB55</f>
        <v>1080.51</v>
      </c>
      <c r="M41">
        <f>ROUND(ROUND(L41*Source!I82, 6)*1, 2)</f>
        <v>1037.29</v>
      </c>
      <c r="N41">
        <f>SmtRes!AA55</f>
        <v>343020.03</v>
      </c>
      <c r="O41">
        <f>ROUND(ROUND(L41*Source!I82, 6)*SmtRes!DA55, 2)</f>
        <v>1037.29</v>
      </c>
      <c r="P41">
        <f>SmtRes!AG55</f>
        <v>0</v>
      </c>
      <c r="Q41">
        <f>SmtRes!DC55</f>
        <v>0</v>
      </c>
      <c r="R41">
        <f>ROUND(ROUND(Q41*Source!I82, 6)*1, 2)</f>
        <v>0</v>
      </c>
      <c r="S41">
        <f>SmtRes!AC55</f>
        <v>0</v>
      </c>
      <c r="T41">
        <f>ROUND(ROUND(Q41*Source!I82, 6)*SmtRes!AK55, 2)</f>
        <v>0</v>
      </c>
      <c r="U41">
        <f>SmtRes!X55</f>
        <v>2135985724</v>
      </c>
      <c r="V41">
        <v>-588394673</v>
      </c>
      <c r="W41">
        <v>-588394673</v>
      </c>
      <c r="X41">
        <v>3</v>
      </c>
    </row>
    <row r="42" spans="1:24" x14ac:dyDescent="0.2">
      <c r="A42">
        <v>20</v>
      </c>
      <c r="B42">
        <v>54</v>
      </c>
      <c r="C42">
        <v>3</v>
      </c>
      <c r="D42">
        <v>0</v>
      </c>
      <c r="E42">
        <f>SmtRes!AV54</f>
        <v>0</v>
      </c>
      <c r="F42" t="str">
        <f>SmtRes!I54</f>
        <v>21.1-25-255</v>
      </c>
      <c r="G42" t="str">
        <f>SmtRes!K54</f>
        <v>Пленка полиэтиленовая, толщина 0,12 - 0,15 мм</v>
      </c>
      <c r="H42" t="str">
        <f>SmtRes!O54</f>
        <v>м2</v>
      </c>
      <c r="I42">
        <f>SmtRes!Y54*Source!I82</f>
        <v>5.3759999999999994</v>
      </c>
      <c r="J42">
        <f>SmtRes!AO54</f>
        <v>1</v>
      </c>
      <c r="K42">
        <f>SmtRes!AE54</f>
        <v>12.02</v>
      </c>
      <c r="L42">
        <f>SmtRes!DB54</f>
        <v>67.31</v>
      </c>
      <c r="M42">
        <f>ROUND(ROUND(L42*Source!I82, 6)*1, 2)</f>
        <v>64.62</v>
      </c>
      <c r="N42">
        <f>SmtRes!AA54</f>
        <v>12.02</v>
      </c>
      <c r="O42">
        <f>ROUND(ROUND(L42*Source!I82, 6)*SmtRes!DA54, 2)</f>
        <v>64.62</v>
      </c>
      <c r="P42">
        <f>SmtRes!AG54</f>
        <v>0</v>
      </c>
      <c r="Q42">
        <f>SmtRes!DC54</f>
        <v>0</v>
      </c>
      <c r="R42">
        <f>ROUND(ROUND(Q42*Source!I82, 6)*1, 2)</f>
        <v>0</v>
      </c>
      <c r="S42">
        <f>SmtRes!AC54</f>
        <v>0</v>
      </c>
      <c r="T42">
        <f>ROUND(ROUND(Q42*Source!I82, 6)*SmtRes!AK54, 2)</f>
        <v>0</v>
      </c>
      <c r="U42">
        <f>SmtRes!X54</f>
        <v>-656702110</v>
      </c>
      <c r="V42">
        <v>657210226</v>
      </c>
      <c r="W42">
        <v>657210226</v>
      </c>
      <c r="X42">
        <v>3</v>
      </c>
    </row>
    <row r="43" spans="1:24" x14ac:dyDescent="0.2">
      <c r="A43">
        <v>20</v>
      </c>
      <c r="B43">
        <v>53</v>
      </c>
      <c r="C43">
        <v>2</v>
      </c>
      <c r="D43">
        <v>0</v>
      </c>
      <c r="E43">
        <f>SmtRes!AV53</f>
        <v>0</v>
      </c>
      <c r="F43" t="str">
        <f>SmtRes!I53</f>
        <v>22.1-6-68</v>
      </c>
      <c r="G43" t="str">
        <f>SmtRes!K53</f>
        <v>Растворосмесители стационарные, емкость до 250 л</v>
      </c>
      <c r="H43" t="str">
        <f>SmtRes!O53</f>
        <v>маш.-ч</v>
      </c>
      <c r="I43">
        <f>SmtRes!Y53*Source!I82</f>
        <v>2.5344000000000002</v>
      </c>
      <c r="J43">
        <f>SmtRes!AO53</f>
        <v>1</v>
      </c>
      <c r="K43">
        <f>SmtRes!AF53</f>
        <v>454.31</v>
      </c>
      <c r="L43">
        <f>SmtRes!DB53</f>
        <v>1199.3800000000001</v>
      </c>
      <c r="M43">
        <f>ROUND(ROUND(L43*Source!I82, 6)*1, 2)</f>
        <v>1151.4000000000001</v>
      </c>
      <c r="N43">
        <f>SmtRes!AB53</f>
        <v>454.31</v>
      </c>
      <c r="O43">
        <f>ROUND(ROUND(L43*Source!I82, 6)*SmtRes!DA53, 2)</f>
        <v>1151.4000000000001</v>
      </c>
      <c r="P43">
        <f>SmtRes!AG53</f>
        <v>405.68</v>
      </c>
      <c r="Q43">
        <f>SmtRes!DC53</f>
        <v>1071</v>
      </c>
      <c r="R43">
        <f>ROUND(ROUND(Q43*Source!I82, 6)*1, 2)</f>
        <v>1028.1600000000001</v>
      </c>
      <c r="S43">
        <f>SmtRes!AC53</f>
        <v>405.68</v>
      </c>
      <c r="T43">
        <f>ROUND(ROUND(Q43*Source!I82, 6)*SmtRes!AK53, 2)</f>
        <v>1028.1600000000001</v>
      </c>
      <c r="U43">
        <f>SmtRes!X53</f>
        <v>1948933241</v>
      </c>
      <c r="V43">
        <v>4389697</v>
      </c>
      <c r="W43">
        <v>4389697</v>
      </c>
      <c r="X43">
        <v>2</v>
      </c>
    </row>
    <row r="44" spans="1:24" x14ac:dyDescent="0.2">
      <c r="A44">
        <v>20</v>
      </c>
      <c r="B44">
        <v>52</v>
      </c>
      <c r="C44">
        <v>2</v>
      </c>
      <c r="D44">
        <v>0</v>
      </c>
      <c r="E44">
        <f>SmtRes!AV52</f>
        <v>0</v>
      </c>
      <c r="F44" t="str">
        <f>SmtRes!I52</f>
        <v>22.1-4-8</v>
      </c>
      <c r="G44" t="str">
        <f>SmtRes!K52</f>
        <v>Погрузчики на автомобильном ходу, грузоподъемность до 1 т</v>
      </c>
      <c r="H44" t="str">
        <f>SmtRes!O52</f>
        <v>маш.-ч</v>
      </c>
      <c r="I44">
        <f>SmtRes!Y52*Source!I82</f>
        <v>9.5999999999999992E-3</v>
      </c>
      <c r="J44">
        <f>SmtRes!AO52</f>
        <v>1</v>
      </c>
      <c r="K44">
        <f>SmtRes!AF52</f>
        <v>616.73</v>
      </c>
      <c r="L44">
        <f>SmtRes!DB52</f>
        <v>6.17</v>
      </c>
      <c r="M44">
        <f>ROUND(ROUND(L44*Source!I82, 6)*1, 2)</f>
        <v>5.92</v>
      </c>
      <c r="N44">
        <f>SmtRes!AB52</f>
        <v>616.73</v>
      </c>
      <c r="O44">
        <f>ROUND(ROUND(L44*Source!I82, 6)*SmtRes!DA52, 2)</f>
        <v>5.92</v>
      </c>
      <c r="P44">
        <f>SmtRes!AG52</f>
        <v>511.29</v>
      </c>
      <c r="Q44">
        <f>SmtRes!DC52</f>
        <v>5.1100000000000003</v>
      </c>
      <c r="R44">
        <f>ROUND(ROUND(Q44*Source!I82, 6)*1, 2)</f>
        <v>4.91</v>
      </c>
      <c r="S44">
        <f>SmtRes!AC52</f>
        <v>511.29</v>
      </c>
      <c r="T44">
        <f>ROUND(ROUND(Q44*Source!I82, 6)*SmtRes!AK52, 2)</f>
        <v>4.91</v>
      </c>
      <c r="U44">
        <f>SmtRes!X52</f>
        <v>-929482187</v>
      </c>
      <c r="V44">
        <v>-878210744</v>
      </c>
      <c r="W44">
        <v>-878210744</v>
      </c>
      <c r="X44">
        <v>2</v>
      </c>
    </row>
    <row r="45" spans="1:24" x14ac:dyDescent="0.2">
      <c r="A45">
        <v>20</v>
      </c>
      <c r="B45">
        <v>51</v>
      </c>
      <c r="C45">
        <v>2</v>
      </c>
      <c r="D45">
        <v>0</v>
      </c>
      <c r="E45">
        <f>SmtRes!AV51</f>
        <v>0</v>
      </c>
      <c r="F45" t="str">
        <f>SmtRes!I51</f>
        <v>22.1-30-102</v>
      </c>
      <c r="G45" t="str">
        <f>SmtRes!K51</f>
        <v>Дрели электрические, двухскоростные, мощностью 600 Вт</v>
      </c>
      <c r="H45" t="str">
        <f>SmtRes!O51</f>
        <v>маш.-ч</v>
      </c>
      <c r="I45">
        <f>SmtRes!Y51*Source!I82</f>
        <v>1.1327999999999998</v>
      </c>
      <c r="J45">
        <f>SmtRes!AO51</f>
        <v>1</v>
      </c>
      <c r="K45">
        <f>SmtRes!AF51</f>
        <v>7.44</v>
      </c>
      <c r="L45">
        <f>SmtRes!DB51</f>
        <v>8.7799999999999994</v>
      </c>
      <c r="M45">
        <f>ROUND(ROUND(L45*Source!I82, 6)*1, 2)</f>
        <v>8.43</v>
      </c>
      <c r="N45">
        <f>SmtRes!AB51</f>
        <v>7.44</v>
      </c>
      <c r="O45">
        <f>ROUND(ROUND(L45*Source!I82, 6)*SmtRes!DA51, 2)</f>
        <v>8.43</v>
      </c>
      <c r="P45">
        <f>SmtRes!AG51</f>
        <v>0.98</v>
      </c>
      <c r="Q45">
        <f>SmtRes!DC51</f>
        <v>1.1599999999999999</v>
      </c>
      <c r="R45">
        <f>ROUND(ROUND(Q45*Source!I82, 6)*1, 2)</f>
        <v>1.1100000000000001</v>
      </c>
      <c r="S45">
        <f>SmtRes!AC51</f>
        <v>0.98</v>
      </c>
      <c r="T45">
        <f>ROUND(ROUND(Q45*Source!I82, 6)*SmtRes!AK51, 2)</f>
        <v>1.1100000000000001</v>
      </c>
      <c r="U45">
        <f>SmtRes!X51</f>
        <v>-1222982568</v>
      </c>
      <c r="V45">
        <v>-2110789947</v>
      </c>
      <c r="W45">
        <v>-2110789947</v>
      </c>
      <c r="X45">
        <v>2</v>
      </c>
    </row>
    <row r="46" spans="1:24" x14ac:dyDescent="0.2">
      <c r="A46">
        <v>20</v>
      </c>
      <c r="B46">
        <v>50</v>
      </c>
      <c r="C46">
        <v>2</v>
      </c>
      <c r="D46">
        <v>0</v>
      </c>
      <c r="E46">
        <f>SmtRes!AV50</f>
        <v>0</v>
      </c>
      <c r="F46" t="str">
        <f>SmtRes!I50</f>
        <v>22.1-17-168</v>
      </c>
      <c r="G46" t="str">
        <f>SmtRes!K50</f>
        <v>Укладчики полимерных покрытий на игровых и спортивных площадках, производительность 10-50 м2/ч</v>
      </c>
      <c r="H46" t="str">
        <f>SmtRes!O50</f>
        <v>маш.-ч</v>
      </c>
      <c r="I46">
        <f>SmtRes!Y50*Source!I82</f>
        <v>2.5344000000000002</v>
      </c>
      <c r="J46">
        <f>SmtRes!AO50</f>
        <v>1</v>
      </c>
      <c r="K46">
        <f>SmtRes!AF50</f>
        <v>531.41</v>
      </c>
      <c r="L46">
        <f>SmtRes!DB50</f>
        <v>1402.92</v>
      </c>
      <c r="M46">
        <f>ROUND(ROUND(L46*Source!I82, 6)*1, 2)</f>
        <v>1346.8</v>
      </c>
      <c r="N46">
        <f>SmtRes!AB50</f>
        <v>531.41</v>
      </c>
      <c r="O46">
        <f>ROUND(ROUND(L46*Source!I82, 6)*SmtRes!DA50, 2)</f>
        <v>1346.8</v>
      </c>
      <c r="P46">
        <f>SmtRes!AG50</f>
        <v>373.56</v>
      </c>
      <c r="Q46">
        <f>SmtRes!DC50</f>
        <v>986.2</v>
      </c>
      <c r="R46">
        <f>ROUND(ROUND(Q46*Source!I82, 6)*1, 2)</f>
        <v>946.75</v>
      </c>
      <c r="S46">
        <f>SmtRes!AC50</f>
        <v>373.56</v>
      </c>
      <c r="T46">
        <f>ROUND(ROUND(Q46*Source!I82, 6)*SmtRes!AK50, 2)</f>
        <v>946.75</v>
      </c>
      <c r="U46">
        <f>SmtRes!X50</f>
        <v>2028281919</v>
      </c>
      <c r="V46">
        <v>-1587432455</v>
      </c>
      <c r="W46">
        <v>-1587432455</v>
      </c>
      <c r="X46">
        <v>2</v>
      </c>
    </row>
    <row r="47" spans="1:24" x14ac:dyDescent="0.2">
      <c r="A47">
        <v>20</v>
      </c>
      <c r="B47">
        <v>64</v>
      </c>
      <c r="C47">
        <v>3</v>
      </c>
      <c r="D47">
        <v>0</v>
      </c>
      <c r="E47">
        <f>SmtRes!AV64</f>
        <v>0</v>
      </c>
      <c r="F47" t="str">
        <f>SmtRes!I64</f>
        <v>21.3-1-64</v>
      </c>
      <c r="G47" t="str">
        <f>SmtRes!K64</f>
        <v>Смеси бетонные, БСГ, тяжелого бетона на гранитном щебне, класс прочности: В7,5 (М100); П3, фракция 5-20</v>
      </c>
      <c r="H47" t="str">
        <f>SmtRes!O64</f>
        <v>м3</v>
      </c>
      <c r="I47">
        <f>SmtRes!Y64*Source!I84</f>
        <v>1.6320000000000001E-2</v>
      </c>
      <c r="J47">
        <f>SmtRes!AO64</f>
        <v>1</v>
      </c>
      <c r="K47">
        <f>SmtRes!AE64</f>
        <v>3247.23</v>
      </c>
      <c r="L47">
        <f>SmtRes!DB64</f>
        <v>331217.46000000002</v>
      </c>
      <c r="M47">
        <f>ROUND(ROUND(L47*Source!I84, 6)*1, 2)</f>
        <v>52.99</v>
      </c>
      <c r="N47">
        <f>SmtRes!AA64</f>
        <v>3247.23</v>
      </c>
      <c r="O47">
        <f>ROUND(ROUND(L47*Source!I84, 6)*SmtRes!DA64, 2)</f>
        <v>52.99</v>
      </c>
      <c r="P47">
        <f>SmtRes!AG64</f>
        <v>0</v>
      </c>
      <c r="Q47">
        <f>SmtRes!DC64</f>
        <v>0</v>
      </c>
      <c r="R47">
        <f>ROUND(ROUND(Q47*Source!I84, 6)*1, 2)</f>
        <v>0</v>
      </c>
      <c r="S47">
        <f>SmtRes!AC64</f>
        <v>0</v>
      </c>
      <c r="T47">
        <f>ROUND(ROUND(Q47*Source!I84, 6)*SmtRes!AK64, 2)</f>
        <v>0</v>
      </c>
      <c r="U47">
        <f>SmtRes!X64</f>
        <v>339861588</v>
      </c>
      <c r="V47">
        <v>99845993</v>
      </c>
      <c r="W47">
        <v>99845993</v>
      </c>
      <c r="X47">
        <v>3</v>
      </c>
    </row>
    <row r="48" spans="1:24" x14ac:dyDescent="0.2">
      <c r="A48">
        <v>20</v>
      </c>
      <c r="B48">
        <v>63</v>
      </c>
      <c r="C48">
        <v>3</v>
      </c>
      <c r="D48">
        <v>0</v>
      </c>
      <c r="E48">
        <f>SmtRes!AV63</f>
        <v>0</v>
      </c>
      <c r="F48" t="str">
        <f>SmtRes!I63</f>
        <v>21.1-25-13</v>
      </c>
      <c r="G48" t="str">
        <f>SmtRes!K63</f>
        <v>Вода</v>
      </c>
      <c r="H48" t="str">
        <f>SmtRes!O63</f>
        <v>м3</v>
      </c>
      <c r="I48">
        <f>SmtRes!Y63*Source!I84</f>
        <v>2.8000000000000003E-4</v>
      </c>
      <c r="J48">
        <f>SmtRes!AO63</f>
        <v>1</v>
      </c>
      <c r="K48">
        <f>SmtRes!AE63</f>
        <v>35.25</v>
      </c>
      <c r="L48">
        <f>SmtRes!DB63</f>
        <v>61.69</v>
      </c>
      <c r="M48">
        <f>ROUND(ROUND(L48*Source!I84, 6)*1, 2)</f>
        <v>0.01</v>
      </c>
      <c r="N48">
        <f>SmtRes!AA63</f>
        <v>35.25</v>
      </c>
      <c r="O48">
        <f>ROUND(ROUND(L48*Source!I84, 6)*SmtRes!DA63, 2)</f>
        <v>0.01</v>
      </c>
      <c r="P48">
        <f>SmtRes!AG63</f>
        <v>0</v>
      </c>
      <c r="Q48">
        <f>SmtRes!DC63</f>
        <v>0</v>
      </c>
      <c r="R48">
        <f>ROUND(ROUND(Q48*Source!I84, 6)*1, 2)</f>
        <v>0</v>
      </c>
      <c r="S48">
        <f>SmtRes!AC63</f>
        <v>0</v>
      </c>
      <c r="T48">
        <f>ROUND(ROUND(Q48*Source!I84, 6)*SmtRes!AK63, 2)</f>
        <v>0</v>
      </c>
      <c r="U48">
        <f>SmtRes!X63</f>
        <v>2028445372</v>
      </c>
      <c r="V48">
        <v>1411454429</v>
      </c>
      <c r="W48">
        <v>1411454429</v>
      </c>
      <c r="X48">
        <v>3</v>
      </c>
    </row>
    <row r="49" spans="1:24" x14ac:dyDescent="0.2">
      <c r="A49">
        <v>20</v>
      </c>
      <c r="B49">
        <v>62</v>
      </c>
      <c r="C49">
        <v>3</v>
      </c>
      <c r="D49">
        <v>0</v>
      </c>
      <c r="E49">
        <f>SmtRes!AV62</f>
        <v>0</v>
      </c>
      <c r="F49" t="str">
        <f>SmtRes!I62</f>
        <v>21.1-20-17</v>
      </c>
      <c r="G49" t="str">
        <f>SmtRes!K62</f>
        <v>Мешковина</v>
      </c>
      <c r="H49" t="str">
        <f>SmtRes!O62</f>
        <v>м2</v>
      </c>
      <c r="I49">
        <f>SmtRes!Y62*Source!I84</f>
        <v>0.04</v>
      </c>
      <c r="J49">
        <f>SmtRes!AO62</f>
        <v>1</v>
      </c>
      <c r="K49">
        <f>SmtRes!AE62</f>
        <v>91.89</v>
      </c>
      <c r="L49">
        <f>SmtRes!DB62</f>
        <v>22972.5</v>
      </c>
      <c r="M49">
        <f>ROUND(ROUND(L49*Source!I84, 6)*1, 2)</f>
        <v>3.68</v>
      </c>
      <c r="N49">
        <f>SmtRes!AA62</f>
        <v>91.89</v>
      </c>
      <c r="O49">
        <f>ROUND(ROUND(L49*Source!I84, 6)*SmtRes!DA62, 2)</f>
        <v>3.68</v>
      </c>
      <c r="P49">
        <f>SmtRes!AG62</f>
        <v>0</v>
      </c>
      <c r="Q49">
        <f>SmtRes!DC62</f>
        <v>0</v>
      </c>
      <c r="R49">
        <f>ROUND(ROUND(Q49*Source!I84, 6)*1, 2)</f>
        <v>0</v>
      </c>
      <c r="S49">
        <f>SmtRes!AC62</f>
        <v>0</v>
      </c>
      <c r="T49">
        <f>ROUND(ROUND(Q49*Source!I84, 6)*SmtRes!AK62, 2)</f>
        <v>0</v>
      </c>
      <c r="U49">
        <f>SmtRes!X62</f>
        <v>-1493859615</v>
      </c>
      <c r="V49">
        <v>-1413124159</v>
      </c>
      <c r="W49">
        <v>-1413124159</v>
      </c>
      <c r="X49">
        <v>3</v>
      </c>
    </row>
    <row r="50" spans="1:24" x14ac:dyDescent="0.2">
      <c r="A50">
        <v>20</v>
      </c>
      <c r="B50">
        <v>61</v>
      </c>
      <c r="C50">
        <v>2</v>
      </c>
      <c r="D50">
        <v>0</v>
      </c>
      <c r="E50">
        <f>SmtRes!AV61</f>
        <v>0</v>
      </c>
      <c r="F50" t="str">
        <f>SmtRes!I61</f>
        <v>22.1-6-51</v>
      </c>
      <c r="G50" t="str">
        <f>SmtRes!K61</f>
        <v>Вибраторы поверхностные</v>
      </c>
      <c r="H50" t="str">
        <f>SmtRes!O61</f>
        <v>маш.-ч</v>
      </c>
      <c r="I50">
        <f>SmtRes!Y61*Source!I84</f>
        <v>1.1856000000000002E-3</v>
      </c>
      <c r="J50">
        <f>SmtRes!AO61</f>
        <v>1</v>
      </c>
      <c r="K50">
        <f>SmtRes!AF61</f>
        <v>3.84</v>
      </c>
      <c r="L50">
        <f>SmtRes!DB61</f>
        <v>28.45</v>
      </c>
      <c r="M50">
        <f>ROUND(ROUND(L50*Source!I84, 6)*1, 2)</f>
        <v>0</v>
      </c>
      <c r="N50">
        <f>SmtRes!AB61</f>
        <v>3.84</v>
      </c>
      <c r="O50">
        <f>ROUND(ROUND(L50*Source!I84, 6)*SmtRes!DA61, 2)</f>
        <v>0</v>
      </c>
      <c r="P50">
        <f>SmtRes!AG61</f>
        <v>0.01</v>
      </c>
      <c r="Q50">
        <f>SmtRes!DC61</f>
        <v>7.0000000000000007E-2</v>
      </c>
      <c r="R50">
        <f>ROUND(ROUND(Q50*Source!I84, 6)*1, 2)</f>
        <v>0</v>
      </c>
      <c r="S50">
        <f>SmtRes!AC61</f>
        <v>0.01</v>
      </c>
      <c r="T50">
        <f>ROUND(ROUND(Q50*Source!I84, 6)*SmtRes!AK61, 2)</f>
        <v>0</v>
      </c>
      <c r="U50">
        <f>SmtRes!X61</f>
        <v>-192782718</v>
      </c>
      <c r="V50">
        <v>540280896</v>
      </c>
      <c r="W50">
        <v>540280896</v>
      </c>
      <c r="X50">
        <v>2</v>
      </c>
    </row>
    <row r="51" spans="1:24" x14ac:dyDescent="0.2">
      <c r="A51">
        <v>20</v>
      </c>
      <c r="B51">
        <v>69</v>
      </c>
      <c r="C51">
        <v>3</v>
      </c>
      <c r="D51">
        <v>0</v>
      </c>
      <c r="E51">
        <f>SmtRes!AV69</f>
        <v>0</v>
      </c>
      <c r="F51" t="str">
        <f>SmtRes!I69</f>
        <v>21.6-1-17</v>
      </c>
      <c r="G51" t="str">
        <f>SmtRes!K69</f>
        <v>Конструктивные эл-ты вспом.назн.,эл-ты крепл.подвес. потолков,трубопр.,воздухов.,закл.детали,детали крепл.стен.панелей,ворот,переплетов решеток,массой не более 50 кг, с преобл.проф.проката, с отверстиями собираемые из двух и более деталей</v>
      </c>
      <c r="H51" t="str">
        <f>SmtRes!O69</f>
        <v>т</v>
      </c>
      <c r="I51">
        <f>SmtRes!Y69*Source!I85</f>
        <v>0.67017000000000004</v>
      </c>
      <c r="J51">
        <f>SmtRes!AO69</f>
        <v>1</v>
      </c>
      <c r="K51">
        <f>SmtRes!AE69</f>
        <v>80328.740000000005</v>
      </c>
      <c r="L51">
        <f>SmtRes!DB69</f>
        <v>80328.740000000005</v>
      </c>
      <c r="M51">
        <f>ROUND(ROUND(L51*Source!I85, 6)*1, 2)</f>
        <v>53833.91</v>
      </c>
      <c r="N51">
        <f>SmtRes!AA69</f>
        <v>80328.740000000005</v>
      </c>
      <c r="O51">
        <f>ROUND(ROUND(L51*Source!I85, 6)*SmtRes!DA69, 2)</f>
        <v>53833.91</v>
      </c>
      <c r="P51">
        <f>SmtRes!AG69</f>
        <v>0</v>
      </c>
      <c r="Q51">
        <f>SmtRes!DC69</f>
        <v>0</v>
      </c>
      <c r="R51">
        <f>ROUND(ROUND(Q51*Source!I85, 6)*1, 2)</f>
        <v>0</v>
      </c>
      <c r="S51">
        <f>SmtRes!AC69</f>
        <v>0</v>
      </c>
      <c r="T51">
        <f>ROUND(ROUND(Q51*Source!I85, 6)*SmtRes!AK69, 2)</f>
        <v>0</v>
      </c>
      <c r="U51">
        <f>SmtRes!X69</f>
        <v>2073736509</v>
      </c>
      <c r="V51">
        <v>1302471624</v>
      </c>
      <c r="W51">
        <v>1302471624</v>
      </c>
      <c r="X51">
        <v>3</v>
      </c>
    </row>
    <row r="52" spans="1:24" x14ac:dyDescent="0.2">
      <c r="A52">
        <v>20</v>
      </c>
      <c r="B52">
        <v>68</v>
      </c>
      <c r="C52">
        <v>3</v>
      </c>
      <c r="D52">
        <v>0</v>
      </c>
      <c r="E52">
        <f>SmtRes!AV68</f>
        <v>0</v>
      </c>
      <c r="F52" t="str">
        <f>SmtRes!I68</f>
        <v>21.1-23-9</v>
      </c>
      <c r="G52" t="str">
        <f>SmtRes!K68</f>
        <v>Электроды, тип Э-42, 46, 50, диаметр 4 - 6 мм</v>
      </c>
      <c r="H52" t="str">
        <f>SmtRes!O68</f>
        <v>т</v>
      </c>
      <c r="I52">
        <f>SmtRes!Y68*Source!I85</f>
        <v>4.6911900000000005E-3</v>
      </c>
      <c r="J52">
        <f>SmtRes!AO68</f>
        <v>1</v>
      </c>
      <c r="K52">
        <f>SmtRes!AE68</f>
        <v>110781.14</v>
      </c>
      <c r="L52">
        <f>SmtRes!DB68</f>
        <v>775.47</v>
      </c>
      <c r="M52">
        <f>ROUND(ROUND(L52*Source!I85, 6)*1, 2)</f>
        <v>519.70000000000005</v>
      </c>
      <c r="N52">
        <f>SmtRes!AA68</f>
        <v>110781.14</v>
      </c>
      <c r="O52">
        <f>ROUND(ROUND(L52*Source!I85, 6)*SmtRes!DA68, 2)</f>
        <v>519.70000000000005</v>
      </c>
      <c r="P52">
        <f>SmtRes!AG68</f>
        <v>0</v>
      </c>
      <c r="Q52">
        <f>SmtRes!DC68</f>
        <v>0</v>
      </c>
      <c r="R52">
        <f>ROUND(ROUND(Q52*Source!I85, 6)*1, 2)</f>
        <v>0</v>
      </c>
      <c r="S52">
        <f>SmtRes!AC68</f>
        <v>0</v>
      </c>
      <c r="T52">
        <f>ROUND(ROUND(Q52*Source!I85, 6)*SmtRes!AK68, 2)</f>
        <v>0</v>
      </c>
      <c r="U52">
        <f>SmtRes!X68</f>
        <v>-941081254</v>
      </c>
      <c r="V52">
        <v>1991017595</v>
      </c>
      <c r="W52">
        <v>1991017595</v>
      </c>
      <c r="X52">
        <v>3</v>
      </c>
    </row>
    <row r="53" spans="1:24" x14ac:dyDescent="0.2">
      <c r="A53">
        <v>20</v>
      </c>
      <c r="B53">
        <v>66</v>
      </c>
      <c r="C53">
        <v>2</v>
      </c>
      <c r="D53">
        <v>0</v>
      </c>
      <c r="E53">
        <f>SmtRes!AV66</f>
        <v>0</v>
      </c>
      <c r="F53" t="str">
        <f>SmtRes!I66</f>
        <v>22.1-13-14</v>
      </c>
      <c r="G53" t="str">
        <f>SmtRes!K66</f>
        <v>Установки для сварки ручной дуговой (постоянного тока)</v>
      </c>
      <c r="H53" t="str">
        <f>SmtRes!O66</f>
        <v>маш.-ч</v>
      </c>
      <c r="I53">
        <f>SmtRes!Y66*Source!I85</f>
        <v>6.7754187000000003</v>
      </c>
      <c r="J53">
        <f>SmtRes!AO66</f>
        <v>1</v>
      </c>
      <c r="K53">
        <f>SmtRes!AF66</f>
        <v>27.21</v>
      </c>
      <c r="L53">
        <f>SmtRes!DB66</f>
        <v>275.08999999999997</v>
      </c>
      <c r="M53">
        <f>ROUND(ROUND(L53*Source!I85, 6)*1, 2)</f>
        <v>184.36</v>
      </c>
      <c r="N53">
        <f>SmtRes!AB66</f>
        <v>27.21</v>
      </c>
      <c r="O53">
        <f>ROUND(ROUND(L53*Source!I85, 6)*SmtRes!DA66, 2)</f>
        <v>184.36</v>
      </c>
      <c r="P53">
        <f>SmtRes!AG66</f>
        <v>0.13</v>
      </c>
      <c r="Q53">
        <f>SmtRes!DC66</f>
        <v>1.31</v>
      </c>
      <c r="R53">
        <f>ROUND(ROUND(Q53*Source!I85, 6)*1, 2)</f>
        <v>0.88</v>
      </c>
      <c r="S53">
        <f>SmtRes!AC66</f>
        <v>0.13</v>
      </c>
      <c r="T53">
        <f>ROUND(ROUND(Q53*Source!I85, 6)*SmtRes!AK66, 2)</f>
        <v>0.88</v>
      </c>
      <c r="U53">
        <f>SmtRes!X66</f>
        <v>-1522739878</v>
      </c>
      <c r="V53">
        <v>-508985352</v>
      </c>
      <c r="W53">
        <v>-508985352</v>
      </c>
      <c r="X53">
        <v>2</v>
      </c>
    </row>
    <row r="54" spans="1:24" x14ac:dyDescent="0.2">
      <c r="A54">
        <f>Source!A86</f>
        <v>18</v>
      </c>
      <c r="B54">
        <v>86</v>
      </c>
      <c r="C54">
        <v>3</v>
      </c>
      <c r="D54">
        <f>Source!BI86</f>
        <v>4</v>
      </c>
      <c r="E54">
        <f>Source!FS86</f>
        <v>0</v>
      </c>
      <c r="F54" t="str">
        <f>Source!F86</f>
        <v>21.6-1-17</v>
      </c>
      <c r="G54" t="str">
        <f>Source!G86</f>
        <v>Конструктивные эл-ты вспом.назн.,эл-ты крепл.подвес. потолков,трубопр.,воздухов.,закл.детали,детали крепл.стен.панелей,ворот,переплетов решеток,массой не более 50 кг, с преобл.проф.проката, с отверстиями собираемые из двух и более деталей</v>
      </c>
      <c r="H54" t="str">
        <f>Source!H86</f>
        <v>т</v>
      </c>
      <c r="I54">
        <f>Source!I86</f>
        <v>-0.67017000000000004</v>
      </c>
      <c r="J54">
        <v>1</v>
      </c>
      <c r="K54">
        <f>Source!AC86</f>
        <v>80328.740000000005</v>
      </c>
      <c r="M54">
        <f>ROUND(K54*I54, 2)</f>
        <v>-53833.91</v>
      </c>
      <c r="N54">
        <f>Source!AC86*IF(Source!BC86&lt;&gt; 0, Source!BC86, 1)</f>
        <v>80328.740000000005</v>
      </c>
      <c r="O54">
        <f>ROUND(N54*I54, 2)</f>
        <v>-53833.91</v>
      </c>
      <c r="P54">
        <f>Source!AE86</f>
        <v>0</v>
      </c>
      <c r="R54">
        <f>ROUND(P54*I54, 2)</f>
        <v>0</v>
      </c>
      <c r="S54">
        <f>Source!AE86*IF(Source!BS86&lt;&gt; 0, Source!BS86, 1)</f>
        <v>0</v>
      </c>
      <c r="T54">
        <f>ROUND(S54*I54, 2)</f>
        <v>0</v>
      </c>
      <c r="U54">
        <f>Source!GF86</f>
        <v>2073736509</v>
      </c>
      <c r="V54">
        <v>1302471624</v>
      </c>
      <c r="W54">
        <v>1302471624</v>
      </c>
      <c r="X54">
        <v>3</v>
      </c>
    </row>
    <row r="55" spans="1:24" x14ac:dyDescent="0.2">
      <c r="A55">
        <f>Source!A87</f>
        <v>18</v>
      </c>
      <c r="B55">
        <v>87</v>
      </c>
      <c r="C55">
        <v>3</v>
      </c>
      <c r="D55">
        <f>Source!BI87</f>
        <v>4</v>
      </c>
      <c r="E55">
        <f>Source!FS87</f>
        <v>0</v>
      </c>
      <c r="F55" t="str">
        <f>Source!F87</f>
        <v>21.1-10-47</v>
      </c>
      <c r="G55" t="str">
        <f>Source!G87</f>
        <v>Профили стальные электросварные квадратного сечения трубчатые, размер стороны 80 мм, толщина стенки 3-6 мм</v>
      </c>
      <c r="H55" t="str">
        <f>Source!H87</f>
        <v>т</v>
      </c>
      <c r="I55">
        <f>Source!I87</f>
        <v>0.67017000000000004</v>
      </c>
      <c r="J55">
        <v>1</v>
      </c>
      <c r="K55">
        <f>Source!AC87</f>
        <v>37329.29</v>
      </c>
      <c r="M55">
        <f>ROUND(K55*I55, 2)</f>
        <v>25016.97</v>
      </c>
      <c r="N55">
        <f>Source!AC87*IF(Source!BC87&lt;&gt; 0, Source!BC87, 1)</f>
        <v>37329.29</v>
      </c>
      <c r="O55">
        <f>ROUND(N55*I55, 2)</f>
        <v>25016.97</v>
      </c>
      <c r="P55">
        <f>Source!AE87</f>
        <v>0</v>
      </c>
      <c r="R55">
        <f>ROUND(P55*I55, 2)</f>
        <v>0</v>
      </c>
      <c r="S55">
        <f>Source!AE87*IF(Source!BS87&lt;&gt; 0, Source!BS87, 1)</f>
        <v>0</v>
      </c>
      <c r="T55">
        <f>ROUND(S55*I55, 2)</f>
        <v>0</v>
      </c>
      <c r="U55">
        <f>Source!GF87</f>
        <v>209443868</v>
      </c>
      <c r="V55">
        <v>346107761</v>
      </c>
      <c r="W55">
        <v>346107761</v>
      </c>
      <c r="X55">
        <v>3</v>
      </c>
    </row>
    <row r="56" spans="1:24" x14ac:dyDescent="0.2">
      <c r="A56">
        <v>20</v>
      </c>
      <c r="B56">
        <v>81</v>
      </c>
      <c r="C56">
        <v>3</v>
      </c>
      <c r="D56">
        <v>0</v>
      </c>
      <c r="E56">
        <f>SmtRes!AV81</f>
        <v>0</v>
      </c>
      <c r="F56" t="str">
        <f>SmtRes!I81</f>
        <v>21.3-4-28</v>
      </c>
      <c r="G56" t="str">
        <f>SmtRes!K81</f>
        <v>Арматурные заготовки (стержни, хомуты и т.п.), не собранные в каркасы или сетки, углеродистая сталь общего назначения (жесткая арматура), профильная</v>
      </c>
      <c r="H56" t="str">
        <f>SmtRes!O81</f>
        <v>т</v>
      </c>
      <c r="I56">
        <f>SmtRes!Y81*Source!I88</f>
        <v>1.1798542000000001</v>
      </c>
      <c r="J56">
        <f>SmtRes!AO81</f>
        <v>1</v>
      </c>
      <c r="K56">
        <f>SmtRes!AE81</f>
        <v>35483.61</v>
      </c>
      <c r="L56">
        <f>SmtRes!DB81</f>
        <v>37612.629999999997</v>
      </c>
      <c r="M56">
        <f>ROUND(ROUND(L56*Source!I88, 6)*1, 2)</f>
        <v>41865.49</v>
      </c>
      <c r="N56">
        <f>SmtRes!AA81</f>
        <v>35483.61</v>
      </c>
      <c r="O56">
        <f>ROUND(ROUND(L56*Source!I88, 6)*SmtRes!DA81, 2)</f>
        <v>41865.49</v>
      </c>
      <c r="P56">
        <f>SmtRes!AG81</f>
        <v>0</v>
      </c>
      <c r="Q56">
        <f>SmtRes!DC81</f>
        <v>0</v>
      </c>
      <c r="R56">
        <f>ROUND(ROUND(Q56*Source!I88, 6)*1, 2)</f>
        <v>0</v>
      </c>
      <c r="S56">
        <f>SmtRes!AC81</f>
        <v>0</v>
      </c>
      <c r="T56">
        <f>ROUND(ROUND(Q56*Source!I88, 6)*SmtRes!AK81, 2)</f>
        <v>0</v>
      </c>
      <c r="U56">
        <f>SmtRes!X81</f>
        <v>135110903</v>
      </c>
      <c r="V56">
        <v>987231853</v>
      </c>
      <c r="W56">
        <v>987231853</v>
      </c>
      <c r="X56">
        <v>3</v>
      </c>
    </row>
    <row r="57" spans="1:24" x14ac:dyDescent="0.2">
      <c r="A57">
        <v>20</v>
      </c>
      <c r="B57">
        <v>80</v>
      </c>
      <c r="C57">
        <v>3</v>
      </c>
      <c r="D57">
        <v>0</v>
      </c>
      <c r="E57">
        <f>SmtRes!AV80</f>
        <v>0</v>
      </c>
      <c r="F57" t="str">
        <f>SmtRes!I80</f>
        <v>21.1-4-31</v>
      </c>
      <c r="G57" t="str">
        <f>SmtRes!K80</f>
        <v>Пропан-бутан газообразный</v>
      </c>
      <c r="H57" t="str">
        <f>SmtRes!O80</f>
        <v>м3</v>
      </c>
      <c r="I57">
        <f>SmtRes!Y80*Source!I88</f>
        <v>0.22261400000000001</v>
      </c>
      <c r="J57">
        <f>SmtRes!AO80</f>
        <v>1</v>
      </c>
      <c r="K57">
        <f>SmtRes!AE80</f>
        <v>32.520000000000003</v>
      </c>
      <c r="L57">
        <f>SmtRes!DB80</f>
        <v>6.5</v>
      </c>
      <c r="M57">
        <f>ROUND(ROUND(L57*Source!I88, 6)*1, 2)</f>
        <v>7.23</v>
      </c>
      <c r="N57">
        <f>SmtRes!AA80</f>
        <v>32.520000000000003</v>
      </c>
      <c r="O57">
        <f>ROUND(ROUND(L57*Source!I88, 6)*SmtRes!DA80, 2)</f>
        <v>7.23</v>
      </c>
      <c r="P57">
        <f>SmtRes!AG80</f>
        <v>0</v>
      </c>
      <c r="Q57">
        <f>SmtRes!DC80</f>
        <v>0</v>
      </c>
      <c r="R57">
        <f>ROUND(ROUND(Q57*Source!I88, 6)*1, 2)</f>
        <v>0</v>
      </c>
      <c r="S57">
        <f>SmtRes!AC80</f>
        <v>0</v>
      </c>
      <c r="T57">
        <f>ROUND(ROUND(Q57*Source!I88, 6)*SmtRes!AK80, 2)</f>
        <v>0</v>
      </c>
      <c r="U57">
        <f>SmtRes!X80</f>
        <v>-611409894</v>
      </c>
      <c r="V57">
        <v>1367485125</v>
      </c>
      <c r="W57">
        <v>1367485125</v>
      </c>
      <c r="X57">
        <v>3</v>
      </c>
    </row>
    <row r="58" spans="1:24" x14ac:dyDescent="0.2">
      <c r="A58">
        <v>20</v>
      </c>
      <c r="B58">
        <v>79</v>
      </c>
      <c r="C58">
        <v>3</v>
      </c>
      <c r="D58">
        <v>0</v>
      </c>
      <c r="E58">
        <f>SmtRes!AV79</f>
        <v>0</v>
      </c>
      <c r="F58" t="str">
        <f>SmtRes!I79</f>
        <v>21.1-4-10</v>
      </c>
      <c r="G58" t="str">
        <f>SmtRes!K79</f>
        <v>Кислород технический газообразный</v>
      </c>
      <c r="H58" t="str">
        <f>SmtRes!O79</f>
        <v>м3</v>
      </c>
      <c r="I58">
        <f>SmtRes!Y79*Source!I88</f>
        <v>0.66784199999999994</v>
      </c>
      <c r="J58">
        <f>SmtRes!AO79</f>
        <v>1</v>
      </c>
      <c r="K58">
        <f>SmtRes!AE79</f>
        <v>53.38</v>
      </c>
      <c r="L58">
        <f>SmtRes!DB79</f>
        <v>32.03</v>
      </c>
      <c r="M58">
        <f>ROUND(ROUND(L58*Source!I88, 6)*1, 2)</f>
        <v>35.65</v>
      </c>
      <c r="N58">
        <f>SmtRes!AA79</f>
        <v>53.38</v>
      </c>
      <c r="O58">
        <f>ROUND(ROUND(L58*Source!I88, 6)*SmtRes!DA79, 2)</f>
        <v>35.65</v>
      </c>
      <c r="P58">
        <f>SmtRes!AG79</f>
        <v>0</v>
      </c>
      <c r="Q58">
        <f>SmtRes!DC79</f>
        <v>0</v>
      </c>
      <c r="R58">
        <f>ROUND(ROUND(Q58*Source!I88, 6)*1, 2)</f>
        <v>0</v>
      </c>
      <c r="S58">
        <f>SmtRes!AC79</f>
        <v>0</v>
      </c>
      <c r="T58">
        <f>ROUND(ROUND(Q58*Source!I88, 6)*SmtRes!AK79, 2)</f>
        <v>0</v>
      </c>
      <c r="U58">
        <f>SmtRes!X79</f>
        <v>-617769218</v>
      </c>
      <c r="V58">
        <v>-833209200</v>
      </c>
      <c r="W58">
        <v>-833209200</v>
      </c>
      <c r="X58">
        <v>3</v>
      </c>
    </row>
    <row r="59" spans="1:24" x14ac:dyDescent="0.2">
      <c r="A59">
        <v>20</v>
      </c>
      <c r="B59">
        <v>78</v>
      </c>
      <c r="C59">
        <v>3</v>
      </c>
      <c r="D59">
        <v>0</v>
      </c>
      <c r="E59">
        <f>SmtRes!AV78</f>
        <v>0</v>
      </c>
      <c r="F59" t="str">
        <f>SmtRes!I78</f>
        <v>21.1-23-9</v>
      </c>
      <c r="G59" t="str">
        <f>SmtRes!K78</f>
        <v>Электроды, тип Э-42, 46, 50, диаметр 4 - 6 мм</v>
      </c>
      <c r="H59" t="str">
        <f>SmtRes!O78</f>
        <v>т</v>
      </c>
      <c r="I59">
        <f>SmtRes!Y78*Source!I88</f>
        <v>2.114833E-2</v>
      </c>
      <c r="J59">
        <f>SmtRes!AO78</f>
        <v>1</v>
      </c>
      <c r="K59">
        <f>SmtRes!AE78</f>
        <v>110781.14</v>
      </c>
      <c r="L59">
        <f>SmtRes!DB78</f>
        <v>2104.84</v>
      </c>
      <c r="M59">
        <f>ROUND(ROUND(L59*Source!I88, 6)*1, 2)</f>
        <v>2342.83</v>
      </c>
      <c r="N59">
        <f>SmtRes!AA78</f>
        <v>110781.14</v>
      </c>
      <c r="O59">
        <f>ROUND(ROUND(L59*Source!I88, 6)*SmtRes!DA78, 2)</f>
        <v>2342.83</v>
      </c>
      <c r="P59">
        <f>SmtRes!AG78</f>
        <v>0</v>
      </c>
      <c r="Q59">
        <f>SmtRes!DC78</f>
        <v>0</v>
      </c>
      <c r="R59">
        <f>ROUND(ROUND(Q59*Source!I88, 6)*1, 2)</f>
        <v>0</v>
      </c>
      <c r="S59">
        <f>SmtRes!AC78</f>
        <v>0</v>
      </c>
      <c r="T59">
        <f>ROUND(ROUND(Q59*Source!I88, 6)*SmtRes!AK78, 2)</f>
        <v>0</v>
      </c>
      <c r="U59">
        <f>SmtRes!X78</f>
        <v>-941081254</v>
      </c>
      <c r="V59">
        <v>1991017595</v>
      </c>
      <c r="W59">
        <v>1991017595</v>
      </c>
      <c r="X59">
        <v>3</v>
      </c>
    </row>
    <row r="60" spans="1:24" x14ac:dyDescent="0.2">
      <c r="A60">
        <v>20</v>
      </c>
      <c r="B60">
        <v>77</v>
      </c>
      <c r="C60">
        <v>2</v>
      </c>
      <c r="D60">
        <v>0</v>
      </c>
      <c r="E60">
        <f>SmtRes!AV77</f>
        <v>0</v>
      </c>
      <c r="F60" t="str">
        <f>SmtRes!I77</f>
        <v>22.1-30-64</v>
      </c>
      <c r="G60" t="str">
        <f>SmtRes!K77</f>
        <v>Пресс-ножницы комбинированные</v>
      </c>
      <c r="H60" t="str">
        <f>SmtRes!O77</f>
        <v>маш.-ч</v>
      </c>
      <c r="I60">
        <f>SmtRes!Y77*Source!I88</f>
        <v>1.11307</v>
      </c>
      <c r="J60">
        <f>SmtRes!AO77</f>
        <v>1</v>
      </c>
      <c r="K60">
        <f>SmtRes!AF77</f>
        <v>364.4</v>
      </c>
      <c r="L60">
        <f>SmtRes!DB77</f>
        <v>364.4</v>
      </c>
      <c r="M60">
        <f>ROUND(ROUND(L60*Source!I88, 6)*1, 2)</f>
        <v>405.6</v>
      </c>
      <c r="N60">
        <f>SmtRes!AB77</f>
        <v>364.4</v>
      </c>
      <c r="O60">
        <f>ROUND(ROUND(L60*Source!I88, 6)*SmtRes!DA77, 2)</f>
        <v>405.6</v>
      </c>
      <c r="P60">
        <f>SmtRes!AG77</f>
        <v>325.58</v>
      </c>
      <c r="Q60">
        <f>SmtRes!DC77</f>
        <v>325.58</v>
      </c>
      <c r="R60">
        <f>ROUND(ROUND(Q60*Source!I88, 6)*1, 2)</f>
        <v>362.39</v>
      </c>
      <c r="S60">
        <f>SmtRes!AC77</f>
        <v>325.58</v>
      </c>
      <c r="T60">
        <f>ROUND(ROUND(Q60*Source!I88, 6)*SmtRes!AK77, 2)</f>
        <v>362.39</v>
      </c>
      <c r="U60">
        <f>SmtRes!X77</f>
        <v>1877342720</v>
      </c>
      <c r="V60">
        <v>-1647942655</v>
      </c>
      <c r="W60">
        <v>-1647942655</v>
      </c>
      <c r="X60">
        <v>2</v>
      </c>
    </row>
    <row r="61" spans="1:24" x14ac:dyDescent="0.2">
      <c r="A61">
        <v>20</v>
      </c>
      <c r="B61">
        <v>76</v>
      </c>
      <c r="C61">
        <v>2</v>
      </c>
      <c r="D61">
        <v>0</v>
      </c>
      <c r="E61">
        <f>SmtRes!AV76</f>
        <v>0</v>
      </c>
      <c r="F61" t="str">
        <f>SmtRes!I76</f>
        <v>22.1-30-37</v>
      </c>
      <c r="G61" t="str">
        <f>SmtRes!K76</f>
        <v>Станки сверлильные</v>
      </c>
      <c r="H61" t="str">
        <f>SmtRes!O76</f>
        <v>маш.-ч</v>
      </c>
      <c r="I61">
        <f>SmtRes!Y76*Source!I88</f>
        <v>3.33921</v>
      </c>
      <c r="J61">
        <f>SmtRes!AO76</f>
        <v>1</v>
      </c>
      <c r="K61">
        <f>SmtRes!AF76</f>
        <v>11.26</v>
      </c>
      <c r="L61">
        <f>SmtRes!DB76</f>
        <v>33.78</v>
      </c>
      <c r="M61">
        <f>ROUND(ROUND(L61*Source!I88, 6)*1, 2)</f>
        <v>37.6</v>
      </c>
      <c r="N61">
        <f>SmtRes!AB76</f>
        <v>11.26</v>
      </c>
      <c r="O61">
        <f>ROUND(ROUND(L61*Source!I88, 6)*SmtRes!DA76, 2)</f>
        <v>37.6</v>
      </c>
      <c r="P61">
        <f>SmtRes!AG76</f>
        <v>5.26</v>
      </c>
      <c r="Q61">
        <f>SmtRes!DC76</f>
        <v>15.78</v>
      </c>
      <c r="R61">
        <f>ROUND(ROUND(Q61*Source!I88, 6)*1, 2)</f>
        <v>17.559999999999999</v>
      </c>
      <c r="S61">
        <f>SmtRes!AC76</f>
        <v>5.26</v>
      </c>
      <c r="T61">
        <f>ROUND(ROUND(Q61*Source!I88, 6)*SmtRes!AK76, 2)</f>
        <v>17.559999999999999</v>
      </c>
      <c r="U61">
        <f>SmtRes!X76</f>
        <v>1694277110</v>
      </c>
      <c r="V61">
        <v>-127885626</v>
      </c>
      <c r="W61">
        <v>-127885626</v>
      </c>
      <c r="X61">
        <v>2</v>
      </c>
    </row>
    <row r="62" spans="1:24" x14ac:dyDescent="0.2">
      <c r="A62">
        <v>20</v>
      </c>
      <c r="B62">
        <v>75</v>
      </c>
      <c r="C62">
        <v>2</v>
      </c>
      <c r="D62">
        <v>0</v>
      </c>
      <c r="E62">
        <f>SmtRes!AV75</f>
        <v>0</v>
      </c>
      <c r="F62" t="str">
        <f>SmtRes!I75</f>
        <v>22.1-30-19</v>
      </c>
      <c r="G62" t="str">
        <f>SmtRes!K75</f>
        <v>Машины шлифовальные электрические</v>
      </c>
      <c r="H62" t="str">
        <f>SmtRes!O75</f>
        <v>маш.-ч</v>
      </c>
      <c r="I62">
        <f>SmtRes!Y75*Source!I88</f>
        <v>0.556535</v>
      </c>
      <c r="J62">
        <f>SmtRes!AO75</f>
        <v>1</v>
      </c>
      <c r="K62">
        <f>SmtRes!AF75</f>
        <v>5.94</v>
      </c>
      <c r="L62">
        <f>SmtRes!DB75</f>
        <v>2.97</v>
      </c>
      <c r="M62">
        <f>ROUND(ROUND(L62*Source!I88, 6)*1, 2)</f>
        <v>3.31</v>
      </c>
      <c r="N62">
        <f>SmtRes!AB75</f>
        <v>5.94</v>
      </c>
      <c r="O62">
        <f>ROUND(ROUND(L62*Source!I88, 6)*SmtRes!DA75, 2)</f>
        <v>3.31</v>
      </c>
      <c r="P62">
        <f>SmtRes!AG75</f>
        <v>0.02</v>
      </c>
      <c r="Q62">
        <f>SmtRes!DC75</f>
        <v>0.01</v>
      </c>
      <c r="R62">
        <f>ROUND(ROUND(Q62*Source!I88, 6)*1, 2)</f>
        <v>0.01</v>
      </c>
      <c r="S62">
        <f>SmtRes!AC75</f>
        <v>0.02</v>
      </c>
      <c r="T62">
        <f>ROUND(ROUND(Q62*Source!I88, 6)*SmtRes!AK75, 2)</f>
        <v>0.01</v>
      </c>
      <c r="U62">
        <f>SmtRes!X75</f>
        <v>-952080715</v>
      </c>
      <c r="V62">
        <v>1196876742</v>
      </c>
      <c r="W62">
        <v>1196876742</v>
      </c>
      <c r="X62">
        <v>2</v>
      </c>
    </row>
    <row r="63" spans="1:24" x14ac:dyDescent="0.2">
      <c r="A63">
        <v>20</v>
      </c>
      <c r="B63">
        <v>74</v>
      </c>
      <c r="C63">
        <v>2</v>
      </c>
      <c r="D63">
        <v>0</v>
      </c>
      <c r="E63">
        <f>SmtRes!AV74</f>
        <v>0</v>
      </c>
      <c r="F63" t="str">
        <f>SmtRes!I74</f>
        <v>22.1-30-102</v>
      </c>
      <c r="G63" t="str">
        <f>SmtRes!K74</f>
        <v>Дрели электрические, двухскоростные, мощностью 600 Вт</v>
      </c>
      <c r="H63" t="str">
        <f>SmtRes!O74</f>
        <v>маш.-ч</v>
      </c>
      <c r="I63">
        <f>SmtRes!Y74*Source!I88</f>
        <v>0.42296660000000003</v>
      </c>
      <c r="J63">
        <f>SmtRes!AO74</f>
        <v>1</v>
      </c>
      <c r="K63">
        <f>SmtRes!AF74</f>
        <v>7.44</v>
      </c>
      <c r="L63">
        <f>SmtRes!DB74</f>
        <v>2.83</v>
      </c>
      <c r="M63">
        <f>ROUND(ROUND(L63*Source!I88, 6)*1, 2)</f>
        <v>3.15</v>
      </c>
      <c r="N63">
        <f>SmtRes!AB74</f>
        <v>7.44</v>
      </c>
      <c r="O63">
        <f>ROUND(ROUND(L63*Source!I88, 6)*SmtRes!DA74, 2)</f>
        <v>3.15</v>
      </c>
      <c r="P63">
        <f>SmtRes!AG74</f>
        <v>0.98</v>
      </c>
      <c r="Q63">
        <f>SmtRes!DC74</f>
        <v>0.37</v>
      </c>
      <c r="R63">
        <f>ROUND(ROUND(Q63*Source!I88, 6)*1, 2)</f>
        <v>0.41</v>
      </c>
      <c r="S63">
        <f>SmtRes!AC74</f>
        <v>0.98</v>
      </c>
      <c r="T63">
        <f>ROUND(ROUND(Q63*Source!I88, 6)*SmtRes!AK74, 2)</f>
        <v>0.41</v>
      </c>
      <c r="U63">
        <f>SmtRes!X74</f>
        <v>-1222982568</v>
      </c>
      <c r="V63">
        <v>-2110789947</v>
      </c>
      <c r="W63">
        <v>-2110789947</v>
      </c>
      <c r="X63">
        <v>2</v>
      </c>
    </row>
    <row r="64" spans="1:24" x14ac:dyDescent="0.2">
      <c r="A64">
        <v>20</v>
      </c>
      <c r="B64">
        <v>73</v>
      </c>
      <c r="C64">
        <v>2</v>
      </c>
      <c r="D64">
        <v>0</v>
      </c>
      <c r="E64">
        <f>SmtRes!AV73</f>
        <v>0</v>
      </c>
      <c r="F64" t="str">
        <f>SmtRes!I73</f>
        <v>22.1-13-16</v>
      </c>
      <c r="G64" t="str">
        <f>SmtRes!K73</f>
        <v>Аппараты для газовой сварки и резки</v>
      </c>
      <c r="H64" t="str">
        <f>SmtRes!O73</f>
        <v>маш.-ч</v>
      </c>
      <c r="I64">
        <f>SmtRes!Y73*Source!I88</f>
        <v>1.2466384000000001</v>
      </c>
      <c r="J64">
        <f>SmtRes!AO73</f>
        <v>1</v>
      </c>
      <c r="K64">
        <f>SmtRes!AF73</f>
        <v>6.29</v>
      </c>
      <c r="L64">
        <f>SmtRes!DB73</f>
        <v>7.04</v>
      </c>
      <c r="M64">
        <f>ROUND(ROUND(L64*Source!I88, 6)*1, 2)</f>
        <v>7.84</v>
      </c>
      <c r="N64">
        <f>SmtRes!AB73</f>
        <v>6.29</v>
      </c>
      <c r="O64">
        <f>ROUND(ROUND(L64*Source!I88, 6)*SmtRes!DA73, 2)</f>
        <v>7.84</v>
      </c>
      <c r="P64">
        <f>SmtRes!AG73</f>
        <v>0.14000000000000001</v>
      </c>
      <c r="Q64">
        <f>SmtRes!DC73</f>
        <v>0.16</v>
      </c>
      <c r="R64">
        <f>ROUND(ROUND(Q64*Source!I88, 6)*1, 2)</f>
        <v>0.18</v>
      </c>
      <c r="S64">
        <f>SmtRes!AC73</f>
        <v>0.14000000000000001</v>
      </c>
      <c r="T64">
        <f>ROUND(ROUND(Q64*Source!I88, 6)*SmtRes!AK73, 2)</f>
        <v>0.18</v>
      </c>
      <c r="U64">
        <f>SmtRes!X73</f>
        <v>1013184309</v>
      </c>
      <c r="V64">
        <v>-933967410</v>
      </c>
      <c r="W64">
        <v>-933967410</v>
      </c>
      <c r="X64">
        <v>2</v>
      </c>
    </row>
    <row r="65" spans="1:24" x14ac:dyDescent="0.2">
      <c r="A65">
        <v>20</v>
      </c>
      <c r="B65">
        <v>72</v>
      </c>
      <c r="C65">
        <v>2</v>
      </c>
      <c r="D65">
        <v>0</v>
      </c>
      <c r="E65">
        <f>SmtRes!AV72</f>
        <v>0</v>
      </c>
      <c r="F65" t="str">
        <f>SmtRes!I72</f>
        <v>22.1-13-14</v>
      </c>
      <c r="G65" t="str">
        <f>SmtRes!K72</f>
        <v>Установки для сварки ручной дуговой (постоянного тока)</v>
      </c>
      <c r="H65" t="str">
        <f>SmtRes!O72</f>
        <v>маш.-ч</v>
      </c>
      <c r="I65">
        <f>SmtRes!Y72*Source!I88</f>
        <v>59.827512499999997</v>
      </c>
      <c r="J65">
        <f>SmtRes!AO72</f>
        <v>1</v>
      </c>
      <c r="K65">
        <f>SmtRes!AF72</f>
        <v>27.21</v>
      </c>
      <c r="L65">
        <f>SmtRes!DB72</f>
        <v>1462.54</v>
      </c>
      <c r="M65">
        <f>ROUND(ROUND(L65*Source!I88, 6)*1, 2)</f>
        <v>1627.91</v>
      </c>
      <c r="N65">
        <f>SmtRes!AB72</f>
        <v>27.21</v>
      </c>
      <c r="O65">
        <f>ROUND(ROUND(L65*Source!I88, 6)*SmtRes!DA72, 2)</f>
        <v>1627.91</v>
      </c>
      <c r="P65">
        <f>SmtRes!AG72</f>
        <v>0.13</v>
      </c>
      <c r="Q65">
        <f>SmtRes!DC72</f>
        <v>6.99</v>
      </c>
      <c r="R65">
        <f>ROUND(ROUND(Q65*Source!I88, 6)*1, 2)</f>
        <v>7.78</v>
      </c>
      <c r="S65">
        <f>SmtRes!AC72</f>
        <v>0.13</v>
      </c>
      <c r="T65">
        <f>ROUND(ROUND(Q65*Source!I88, 6)*SmtRes!AK72, 2)</f>
        <v>7.78</v>
      </c>
      <c r="U65">
        <f>SmtRes!X72</f>
        <v>-1522739878</v>
      </c>
      <c r="V65">
        <v>-508985352</v>
      </c>
      <c r="W65">
        <v>-508985352</v>
      </c>
      <c r="X65">
        <v>2</v>
      </c>
    </row>
    <row r="66" spans="1:24" x14ac:dyDescent="0.2">
      <c r="A66">
        <v>20</v>
      </c>
      <c r="B66">
        <v>86</v>
      </c>
      <c r="C66">
        <v>3</v>
      </c>
      <c r="D66">
        <v>0</v>
      </c>
      <c r="E66">
        <f>SmtRes!AV86</f>
        <v>0</v>
      </c>
      <c r="F66" t="str">
        <f>SmtRes!I86</f>
        <v>21.6-1-52</v>
      </c>
      <c r="G66" t="str">
        <f>SmtRes!K86</f>
        <v>Отдельные конструктивные элементы с преобладанием горячекатаных профилей, средняя масса сборочной единицы от 0,51 до 1,0 т</v>
      </c>
      <c r="H66" t="str">
        <f>SmtRes!O86</f>
        <v>т</v>
      </c>
      <c r="I66">
        <f>SmtRes!Y86*Source!I89</f>
        <v>1.11307</v>
      </c>
      <c r="J66">
        <f>SmtRes!AO86</f>
        <v>1</v>
      </c>
      <c r="K66">
        <f>SmtRes!AE86</f>
        <v>75026.559999999998</v>
      </c>
      <c r="L66">
        <f>SmtRes!DB86</f>
        <v>75026.559999999998</v>
      </c>
      <c r="M66">
        <f>ROUND(ROUND(L66*Source!I89, 6)*1, 2)</f>
        <v>83509.81</v>
      </c>
      <c r="N66">
        <f>SmtRes!AA86</f>
        <v>75026.559999999998</v>
      </c>
      <c r="O66">
        <f>ROUND(ROUND(L66*Source!I89, 6)*SmtRes!DA86, 2)</f>
        <v>83509.81</v>
      </c>
      <c r="P66">
        <f>SmtRes!AG86</f>
        <v>0</v>
      </c>
      <c r="Q66">
        <f>SmtRes!DC86</f>
        <v>0</v>
      </c>
      <c r="R66">
        <f>ROUND(ROUND(Q66*Source!I89, 6)*1, 2)</f>
        <v>0</v>
      </c>
      <c r="S66">
        <f>SmtRes!AC86</f>
        <v>0</v>
      </c>
      <c r="T66">
        <f>ROUND(ROUND(Q66*Source!I89, 6)*SmtRes!AK86, 2)</f>
        <v>0</v>
      </c>
      <c r="U66">
        <f>SmtRes!X86</f>
        <v>485376408</v>
      </c>
      <c r="V66">
        <v>-1688827510</v>
      </c>
      <c r="W66">
        <v>-1688827510</v>
      </c>
      <c r="X66">
        <v>3</v>
      </c>
    </row>
    <row r="67" spans="1:24" x14ac:dyDescent="0.2">
      <c r="A67">
        <v>20</v>
      </c>
      <c r="B67">
        <v>85</v>
      </c>
      <c r="C67">
        <v>3</v>
      </c>
      <c r="D67">
        <v>0</v>
      </c>
      <c r="E67">
        <f>SmtRes!AV85</f>
        <v>0</v>
      </c>
      <c r="F67" t="str">
        <f>SmtRes!I85</f>
        <v>21.1-23-9</v>
      </c>
      <c r="G67" t="str">
        <f>SmtRes!K85</f>
        <v>Электроды, тип Э-42, 46, 50, диаметр 4 - 6 мм</v>
      </c>
      <c r="H67" t="str">
        <f>SmtRes!O85</f>
        <v>т</v>
      </c>
      <c r="I67">
        <f>SmtRes!Y85*Source!I89</f>
        <v>1.5582980000000001E-3</v>
      </c>
      <c r="J67">
        <f>SmtRes!AO85</f>
        <v>1</v>
      </c>
      <c r="K67">
        <f>SmtRes!AE85</f>
        <v>110781.14</v>
      </c>
      <c r="L67">
        <f>SmtRes!DB85</f>
        <v>155.09</v>
      </c>
      <c r="M67">
        <f>ROUND(ROUND(L67*Source!I89, 6)*1, 2)</f>
        <v>172.63</v>
      </c>
      <c r="N67">
        <f>SmtRes!AA85</f>
        <v>110781.14</v>
      </c>
      <c r="O67">
        <f>ROUND(ROUND(L67*Source!I89, 6)*SmtRes!DA85, 2)</f>
        <v>172.63</v>
      </c>
      <c r="P67">
        <f>SmtRes!AG85</f>
        <v>0</v>
      </c>
      <c r="Q67">
        <f>SmtRes!DC85</f>
        <v>0</v>
      </c>
      <c r="R67">
        <f>ROUND(ROUND(Q67*Source!I89, 6)*1, 2)</f>
        <v>0</v>
      </c>
      <c r="S67">
        <f>SmtRes!AC85</f>
        <v>0</v>
      </c>
      <c r="T67">
        <f>ROUND(ROUND(Q67*Source!I89, 6)*SmtRes!AK85, 2)</f>
        <v>0</v>
      </c>
      <c r="U67">
        <f>SmtRes!X85</f>
        <v>-941081254</v>
      </c>
      <c r="V67">
        <v>1991017595</v>
      </c>
      <c r="W67">
        <v>1991017595</v>
      </c>
      <c r="X67">
        <v>3</v>
      </c>
    </row>
    <row r="68" spans="1:24" x14ac:dyDescent="0.2">
      <c r="A68">
        <v>20</v>
      </c>
      <c r="B68">
        <v>84</v>
      </c>
      <c r="C68">
        <v>3</v>
      </c>
      <c r="D68">
        <v>0</v>
      </c>
      <c r="E68">
        <f>SmtRes!AV84</f>
        <v>0</v>
      </c>
      <c r="F68" t="str">
        <f>SmtRes!I84</f>
        <v>21.1-11-21</v>
      </c>
      <c r="G68" t="str">
        <f>SmtRes!K84</f>
        <v>Болты строительные черные с гайками и шайбами (10х100мм)</v>
      </c>
      <c r="H68" t="str">
        <f>SmtRes!O84</f>
        <v>т</v>
      </c>
      <c r="I68">
        <f>SmtRes!Y84*Source!I89</f>
        <v>3.6731310000000001E-3</v>
      </c>
      <c r="J68">
        <f>SmtRes!AO84</f>
        <v>1</v>
      </c>
      <c r="K68">
        <f>SmtRes!AE84</f>
        <v>105084.63</v>
      </c>
      <c r="L68">
        <f>SmtRes!DB84</f>
        <v>346.78</v>
      </c>
      <c r="M68">
        <f>ROUND(ROUND(L68*Source!I89, 6)*1, 2)</f>
        <v>385.99</v>
      </c>
      <c r="N68">
        <f>SmtRes!AA84</f>
        <v>105084.63</v>
      </c>
      <c r="O68">
        <f>ROUND(ROUND(L68*Source!I89, 6)*SmtRes!DA84, 2)</f>
        <v>385.99</v>
      </c>
      <c r="P68">
        <f>SmtRes!AG84</f>
        <v>0</v>
      </c>
      <c r="Q68">
        <f>SmtRes!DC84</f>
        <v>0</v>
      </c>
      <c r="R68">
        <f>ROUND(ROUND(Q68*Source!I89, 6)*1, 2)</f>
        <v>0</v>
      </c>
      <c r="S68">
        <f>SmtRes!AC84</f>
        <v>0</v>
      </c>
      <c r="T68">
        <f>ROUND(ROUND(Q68*Source!I89, 6)*SmtRes!AK84, 2)</f>
        <v>0</v>
      </c>
      <c r="U68">
        <f>SmtRes!X84</f>
        <v>-1356276541</v>
      </c>
      <c r="V68">
        <v>442495294</v>
      </c>
      <c r="W68">
        <v>442495294</v>
      </c>
      <c r="X68">
        <v>3</v>
      </c>
    </row>
    <row r="69" spans="1:24" x14ac:dyDescent="0.2">
      <c r="A69">
        <v>20</v>
      </c>
      <c r="B69">
        <v>83</v>
      </c>
      <c r="C69">
        <v>2</v>
      </c>
      <c r="D69">
        <v>0</v>
      </c>
      <c r="E69">
        <f>SmtRes!AV83</f>
        <v>0</v>
      </c>
      <c r="F69" t="str">
        <f>SmtRes!I83</f>
        <v>22.1-4-31</v>
      </c>
      <c r="G69" t="str">
        <f>SmtRes!K83</f>
        <v>Лебедки электрические, грузоподъемность до 1,5 т</v>
      </c>
      <c r="H69" t="str">
        <f>SmtRes!O83</f>
        <v>маш.-ч</v>
      </c>
      <c r="I69">
        <f>SmtRes!Y83*Source!I89</f>
        <v>21.148330000000001</v>
      </c>
      <c r="J69">
        <f>SmtRes!AO83</f>
        <v>1</v>
      </c>
      <c r="K69">
        <f>SmtRes!AF83</f>
        <v>31</v>
      </c>
      <c r="L69">
        <f>SmtRes!DB83</f>
        <v>589</v>
      </c>
      <c r="M69">
        <f>ROUND(ROUND(L69*Source!I89, 6)*1, 2)</f>
        <v>655.6</v>
      </c>
      <c r="N69">
        <f>SmtRes!AB83</f>
        <v>31</v>
      </c>
      <c r="O69">
        <f>ROUND(ROUND(L69*Source!I89, 6)*SmtRes!DA83, 2)</f>
        <v>655.6</v>
      </c>
      <c r="P69">
        <f>SmtRes!AG83</f>
        <v>1.35</v>
      </c>
      <c r="Q69">
        <f>SmtRes!DC83</f>
        <v>25.65</v>
      </c>
      <c r="R69">
        <f>ROUND(ROUND(Q69*Source!I89, 6)*1, 2)</f>
        <v>28.55</v>
      </c>
      <c r="S69">
        <f>SmtRes!AC83</f>
        <v>1.35</v>
      </c>
      <c r="T69">
        <f>ROUND(ROUND(Q69*Source!I89, 6)*SmtRes!AK83, 2)</f>
        <v>28.55</v>
      </c>
      <c r="U69">
        <f>SmtRes!X83</f>
        <v>-204835879</v>
      </c>
      <c r="V69">
        <v>1844315211</v>
      </c>
      <c r="W69">
        <v>1844315211</v>
      </c>
      <c r="X69">
        <v>2</v>
      </c>
    </row>
    <row r="70" spans="1:24" x14ac:dyDescent="0.2">
      <c r="A70">
        <v>20</v>
      </c>
      <c r="B70">
        <v>89</v>
      </c>
      <c r="C70">
        <v>3</v>
      </c>
      <c r="D70">
        <v>0</v>
      </c>
      <c r="E70">
        <f>SmtRes!AV89</f>
        <v>0</v>
      </c>
      <c r="F70" t="str">
        <f>SmtRes!I89</f>
        <v>21.1-6-90</v>
      </c>
      <c r="G70" t="str">
        <f>SmtRes!K89</f>
        <v>Олифа для окраски комбинированная "Оксоль"</v>
      </c>
      <c r="H70" t="str">
        <f>SmtRes!O89</f>
        <v>кг</v>
      </c>
      <c r="I70">
        <f>SmtRes!Y89*Source!I90</f>
        <v>2.4300000000000002</v>
      </c>
      <c r="J70">
        <f>SmtRes!AO89</f>
        <v>1</v>
      </c>
      <c r="K70">
        <f>SmtRes!AE89</f>
        <v>78.180000000000007</v>
      </c>
      <c r="L70">
        <f>SmtRes!DB89</f>
        <v>211.09</v>
      </c>
      <c r="M70">
        <f>ROUND(ROUND(L70*Source!I90, 6)*1, 2)</f>
        <v>189.98</v>
      </c>
      <c r="N70">
        <f>SmtRes!AA89</f>
        <v>78.180000000000007</v>
      </c>
      <c r="O70">
        <f>ROUND(ROUND(L70*Source!I90, 6)*SmtRes!DA89, 2)</f>
        <v>189.98</v>
      </c>
      <c r="P70">
        <f>SmtRes!AG89</f>
        <v>0</v>
      </c>
      <c r="Q70">
        <f>SmtRes!DC89</f>
        <v>0</v>
      </c>
      <c r="R70">
        <f>ROUND(ROUND(Q70*Source!I90, 6)*1, 2)</f>
        <v>0</v>
      </c>
      <c r="S70">
        <f>SmtRes!AC89</f>
        <v>0</v>
      </c>
      <c r="T70">
        <f>ROUND(ROUND(Q70*Source!I90, 6)*SmtRes!AK89, 2)</f>
        <v>0</v>
      </c>
      <c r="U70">
        <f>SmtRes!X89</f>
        <v>1572261892</v>
      </c>
      <c r="V70">
        <v>-691472310</v>
      </c>
      <c r="W70">
        <v>-691472310</v>
      </c>
      <c r="X70">
        <v>3</v>
      </c>
    </row>
    <row r="71" spans="1:24" x14ac:dyDescent="0.2">
      <c r="A71">
        <v>20</v>
      </c>
      <c r="B71">
        <v>88</v>
      </c>
      <c r="C71">
        <v>3</v>
      </c>
      <c r="D71">
        <v>0</v>
      </c>
      <c r="E71">
        <f>SmtRes!AV88</f>
        <v>0</v>
      </c>
      <c r="F71" t="str">
        <f>SmtRes!I88</f>
        <v>21.1-6-46</v>
      </c>
      <c r="G71" t="str">
        <f>SmtRes!K88</f>
        <v>Краски масляные жидкотертые цветные (готовые к употреблению) для наружных и внутренних работ, марка МА-15, сурик железный для окраски по металлу</v>
      </c>
      <c r="H71" t="str">
        <f>SmtRes!O88</f>
        <v>т</v>
      </c>
      <c r="I71">
        <f>SmtRes!Y88*Source!I90</f>
        <v>2.214E-2</v>
      </c>
      <c r="J71">
        <f>SmtRes!AO88</f>
        <v>1</v>
      </c>
      <c r="K71">
        <f>SmtRes!AE88</f>
        <v>81012.06</v>
      </c>
      <c r="L71">
        <f>SmtRes!DB88</f>
        <v>1992.9</v>
      </c>
      <c r="M71">
        <f>ROUND(ROUND(L71*Source!I90, 6)*1, 2)</f>
        <v>1793.61</v>
      </c>
      <c r="N71">
        <f>SmtRes!AA88</f>
        <v>81012.06</v>
      </c>
      <c r="O71">
        <f>ROUND(ROUND(L71*Source!I90, 6)*SmtRes!DA88, 2)</f>
        <v>1793.61</v>
      </c>
      <c r="P71">
        <f>SmtRes!AG88</f>
        <v>0</v>
      </c>
      <c r="Q71">
        <f>SmtRes!DC88</f>
        <v>0</v>
      </c>
      <c r="R71">
        <f>ROUND(ROUND(Q71*Source!I90, 6)*1, 2)</f>
        <v>0</v>
      </c>
      <c r="S71">
        <f>SmtRes!AC88</f>
        <v>0</v>
      </c>
      <c r="T71">
        <f>ROUND(ROUND(Q71*Source!I90, 6)*SmtRes!AK88, 2)</f>
        <v>0</v>
      </c>
      <c r="U71">
        <f>SmtRes!X88</f>
        <v>-1496551476</v>
      </c>
      <c r="V71">
        <v>-328041982</v>
      </c>
      <c r="W71">
        <v>-328041982</v>
      </c>
      <c r="X71">
        <v>3</v>
      </c>
    </row>
    <row r="72" spans="1:24" x14ac:dyDescent="0.2">
      <c r="A72">
        <v>20</v>
      </c>
      <c r="B72">
        <v>103</v>
      </c>
      <c r="C72">
        <v>3</v>
      </c>
      <c r="D72">
        <v>0</v>
      </c>
      <c r="E72">
        <f>SmtRes!AV103</f>
        <v>0</v>
      </c>
      <c r="F72" t="str">
        <f>SmtRes!I103</f>
        <v>21.7-12-4</v>
      </c>
      <c r="G72" t="str">
        <f>SmtRes!K103</f>
        <v>Профили алюминиевые системы AGS 150, ширина 49 мм, прижимы</v>
      </c>
      <c r="H72" t="str">
        <f>SmtRes!O103</f>
        <v>м</v>
      </c>
      <c r="I72">
        <f>SmtRes!Y103*Source!I91</f>
        <v>68.527884</v>
      </c>
      <c r="J72">
        <f>SmtRes!AO103</f>
        <v>1</v>
      </c>
      <c r="K72">
        <f>SmtRes!AE103</f>
        <v>149.85</v>
      </c>
      <c r="L72">
        <f>SmtRes!DB103</f>
        <v>7209.28</v>
      </c>
      <c r="M72">
        <f>ROUND(ROUND(L72*Source!I91, 6)*1, 2)</f>
        <v>10268.9</v>
      </c>
      <c r="N72">
        <f>SmtRes!AA103</f>
        <v>149.85</v>
      </c>
      <c r="O72">
        <f>ROUND(ROUND(L72*Source!I91, 6)*SmtRes!DA103, 2)</f>
        <v>10268.9</v>
      </c>
      <c r="P72">
        <f>SmtRes!AG103</f>
        <v>0</v>
      </c>
      <c r="Q72">
        <f>SmtRes!DC103</f>
        <v>0</v>
      </c>
      <c r="R72">
        <f>ROUND(ROUND(Q72*Source!I91, 6)*1, 2)</f>
        <v>0</v>
      </c>
      <c r="S72">
        <f>SmtRes!AC103</f>
        <v>0</v>
      </c>
      <c r="T72">
        <f>ROUND(ROUND(Q72*Source!I91, 6)*SmtRes!AK103, 2)</f>
        <v>0</v>
      </c>
      <c r="U72">
        <f>SmtRes!X103</f>
        <v>-1018017737</v>
      </c>
      <c r="V72">
        <v>-1294930295</v>
      </c>
      <c r="W72">
        <v>-1294930295</v>
      </c>
      <c r="X72">
        <v>3</v>
      </c>
    </row>
    <row r="73" spans="1:24" x14ac:dyDescent="0.2">
      <c r="A73">
        <v>20</v>
      </c>
      <c r="B73">
        <v>102</v>
      </c>
      <c r="C73">
        <v>3</v>
      </c>
      <c r="D73">
        <v>0</v>
      </c>
      <c r="E73">
        <f>SmtRes!AV102</f>
        <v>0</v>
      </c>
      <c r="F73" t="str">
        <f>SmtRes!I102</f>
        <v>21.7-12-3</v>
      </c>
      <c r="G73" t="str">
        <f>SmtRes!K102</f>
        <v>Профили алюминиевые системы AGS 150, ширина 51 мм, крышки</v>
      </c>
      <c r="H73" t="str">
        <f>SmtRes!O102</f>
        <v>м</v>
      </c>
      <c r="I73">
        <f>SmtRes!Y102*Source!I91</f>
        <v>68.527884</v>
      </c>
      <c r="J73">
        <f>SmtRes!AO102</f>
        <v>1</v>
      </c>
      <c r="K73">
        <f>SmtRes!AE102</f>
        <v>69.680000000000007</v>
      </c>
      <c r="L73">
        <f>SmtRes!DB102</f>
        <v>3352.3</v>
      </c>
      <c r="M73">
        <f>ROUND(ROUND(L73*Source!I91, 6)*1, 2)</f>
        <v>4775.0200000000004</v>
      </c>
      <c r="N73">
        <f>SmtRes!AA102</f>
        <v>69.680000000000007</v>
      </c>
      <c r="O73">
        <f>ROUND(ROUND(L73*Source!I91, 6)*SmtRes!DA102, 2)</f>
        <v>4775.0200000000004</v>
      </c>
      <c r="P73">
        <f>SmtRes!AG102</f>
        <v>0</v>
      </c>
      <c r="Q73">
        <f>SmtRes!DC102</f>
        <v>0</v>
      </c>
      <c r="R73">
        <f>ROUND(ROUND(Q73*Source!I91, 6)*1, 2)</f>
        <v>0</v>
      </c>
      <c r="S73">
        <f>SmtRes!AC102</f>
        <v>0</v>
      </c>
      <c r="T73">
        <f>ROUND(ROUND(Q73*Source!I91, 6)*SmtRes!AK102, 2)</f>
        <v>0</v>
      </c>
      <c r="U73">
        <f>SmtRes!X102</f>
        <v>-602633205</v>
      </c>
      <c r="V73">
        <v>1475264531</v>
      </c>
      <c r="W73">
        <v>1475264531</v>
      </c>
      <c r="X73">
        <v>3</v>
      </c>
    </row>
    <row r="74" spans="1:24" x14ac:dyDescent="0.2">
      <c r="A74">
        <v>20</v>
      </c>
      <c r="B74">
        <v>101</v>
      </c>
      <c r="C74">
        <v>3</v>
      </c>
      <c r="D74">
        <v>0</v>
      </c>
      <c r="E74">
        <f>SmtRes!AV101</f>
        <v>0</v>
      </c>
      <c r="F74" t="str">
        <f>SmtRes!I101</f>
        <v>21.7-1-1</v>
      </c>
      <c r="G74" t="str">
        <f>SmtRes!K101</f>
        <v>Винты самонарезающие оцинкованные 5х20 мм</v>
      </c>
      <c r="H74" t="str">
        <f>SmtRes!O101</f>
        <v>100 шт.</v>
      </c>
      <c r="I74">
        <f>SmtRes!Y101*Source!I91</f>
        <v>7.7772240000000004</v>
      </c>
      <c r="J74">
        <f>SmtRes!AO101</f>
        <v>1</v>
      </c>
      <c r="K74">
        <f>SmtRes!AE101</f>
        <v>241.19</v>
      </c>
      <c r="L74">
        <f>SmtRes!DB101</f>
        <v>1316.9</v>
      </c>
      <c r="M74">
        <f>ROUND(ROUND(L74*Source!I91, 6)*1, 2)</f>
        <v>1875.79</v>
      </c>
      <c r="N74">
        <f>SmtRes!AA101</f>
        <v>241.19</v>
      </c>
      <c r="O74">
        <f>ROUND(ROUND(L74*Source!I91, 6)*SmtRes!DA101, 2)</f>
        <v>1875.79</v>
      </c>
      <c r="P74">
        <f>SmtRes!AG101</f>
        <v>0</v>
      </c>
      <c r="Q74">
        <f>SmtRes!DC101</f>
        <v>0</v>
      </c>
      <c r="R74">
        <f>ROUND(ROUND(Q74*Source!I91, 6)*1, 2)</f>
        <v>0</v>
      </c>
      <c r="S74">
        <f>SmtRes!AC101</f>
        <v>0</v>
      </c>
      <c r="T74">
        <f>ROUND(ROUND(Q74*Source!I91, 6)*SmtRes!AK101, 2)</f>
        <v>0</v>
      </c>
      <c r="U74">
        <f>SmtRes!X101</f>
        <v>1745780889</v>
      </c>
      <c r="V74">
        <v>-1907681163</v>
      </c>
      <c r="W74">
        <v>-1907681163</v>
      </c>
      <c r="X74">
        <v>3</v>
      </c>
    </row>
    <row r="75" spans="1:24" x14ac:dyDescent="0.2">
      <c r="A75">
        <v>20</v>
      </c>
      <c r="B75">
        <v>100</v>
      </c>
      <c r="C75">
        <v>3</v>
      </c>
      <c r="D75">
        <v>0</v>
      </c>
      <c r="E75">
        <f>SmtRes!AV100</f>
        <v>0</v>
      </c>
      <c r="F75" t="str">
        <f>SmtRes!I100</f>
        <v>21.1-25-695</v>
      </c>
      <c r="G75" t="str">
        <f>SmtRes!K100</f>
        <v>Прокладки резиновые уплотнительные для профилей алюминиевых, ширина 60 мм</v>
      </c>
      <c r="H75" t="str">
        <f>SmtRes!O100</f>
        <v>м</v>
      </c>
      <c r="I75">
        <f>SmtRes!Y100*Source!I91</f>
        <v>68.527884</v>
      </c>
      <c r="J75">
        <f>SmtRes!AO100</f>
        <v>1</v>
      </c>
      <c r="K75">
        <f>SmtRes!AE100</f>
        <v>153.38999999999999</v>
      </c>
      <c r="L75">
        <f>SmtRes!DB100</f>
        <v>7379.59</v>
      </c>
      <c r="M75">
        <f>ROUND(ROUND(L75*Source!I91, 6)*1, 2)</f>
        <v>10511.49</v>
      </c>
      <c r="N75">
        <f>SmtRes!AA100</f>
        <v>153.38999999999999</v>
      </c>
      <c r="O75">
        <f>ROUND(ROUND(L75*Source!I91, 6)*SmtRes!DA100, 2)</f>
        <v>10511.49</v>
      </c>
      <c r="P75">
        <f>SmtRes!AG100</f>
        <v>0</v>
      </c>
      <c r="Q75">
        <f>SmtRes!DC100</f>
        <v>0</v>
      </c>
      <c r="R75">
        <f>ROUND(ROUND(Q75*Source!I91, 6)*1, 2)</f>
        <v>0</v>
      </c>
      <c r="S75">
        <f>SmtRes!AC100</f>
        <v>0</v>
      </c>
      <c r="T75">
        <f>ROUND(ROUND(Q75*Source!I91, 6)*SmtRes!AK100, 2)</f>
        <v>0</v>
      </c>
      <c r="U75">
        <f>SmtRes!X100</f>
        <v>123616094</v>
      </c>
      <c r="V75">
        <v>319665718</v>
      </c>
      <c r="W75">
        <v>319665718</v>
      </c>
      <c r="X75">
        <v>3</v>
      </c>
    </row>
    <row r="76" spans="1:24" x14ac:dyDescent="0.2">
      <c r="A76">
        <v>20</v>
      </c>
      <c r="B76">
        <v>99</v>
      </c>
      <c r="C76">
        <v>3</v>
      </c>
      <c r="D76">
        <v>0</v>
      </c>
      <c r="E76">
        <f>SmtRes!AV99</f>
        <v>0</v>
      </c>
      <c r="F76" t="str">
        <f>SmtRes!I99</f>
        <v>21.1-25-694</v>
      </c>
      <c r="G76" t="str">
        <f>SmtRes!K99</f>
        <v>Прокладки резиновые уплотнительные для профилей алюминиевых, ширина 13,5 мм</v>
      </c>
      <c r="H76" t="str">
        <f>SmtRes!O99</f>
        <v>м</v>
      </c>
      <c r="I76">
        <f>SmtRes!Y99*Source!I91</f>
        <v>68.527884</v>
      </c>
      <c r="J76">
        <f>SmtRes!AO99</f>
        <v>1</v>
      </c>
      <c r="K76">
        <f>SmtRes!AE99</f>
        <v>37.46</v>
      </c>
      <c r="L76">
        <f>SmtRes!DB99</f>
        <v>1802.2</v>
      </c>
      <c r="M76">
        <f>ROUND(ROUND(L76*Source!I91, 6)*1, 2)</f>
        <v>2567.0500000000002</v>
      </c>
      <c r="N76">
        <f>SmtRes!AA99</f>
        <v>37.46</v>
      </c>
      <c r="O76">
        <f>ROUND(ROUND(L76*Source!I91, 6)*SmtRes!DA99, 2)</f>
        <v>2567.0500000000002</v>
      </c>
      <c r="P76">
        <f>SmtRes!AG99</f>
        <v>0</v>
      </c>
      <c r="Q76">
        <f>SmtRes!DC99</f>
        <v>0</v>
      </c>
      <c r="R76">
        <f>ROUND(ROUND(Q76*Source!I91, 6)*1, 2)</f>
        <v>0</v>
      </c>
      <c r="S76">
        <f>SmtRes!AC99</f>
        <v>0</v>
      </c>
      <c r="T76">
        <f>ROUND(ROUND(Q76*Source!I91, 6)*SmtRes!AK99, 2)</f>
        <v>0</v>
      </c>
      <c r="U76">
        <f>SmtRes!X99</f>
        <v>-1155863362</v>
      </c>
      <c r="V76">
        <v>90292372</v>
      </c>
      <c r="W76">
        <v>90292372</v>
      </c>
      <c r="X76">
        <v>3</v>
      </c>
    </row>
    <row r="77" spans="1:24" x14ac:dyDescent="0.2">
      <c r="A77">
        <v>20</v>
      </c>
      <c r="B77">
        <v>98</v>
      </c>
      <c r="C77">
        <v>3</v>
      </c>
      <c r="D77">
        <v>0</v>
      </c>
      <c r="E77">
        <f>SmtRes!AV98</f>
        <v>0</v>
      </c>
      <c r="F77" t="str">
        <f>SmtRes!I98</f>
        <v>21.1-25-691</v>
      </c>
      <c r="G77" t="str">
        <f>SmtRes!K98</f>
        <v>Термошайбы поликарбонатные для крепления поликарбоната к металлическим конструкциям</v>
      </c>
      <c r="H77" t="str">
        <f>SmtRes!O98</f>
        <v>100 шт.</v>
      </c>
      <c r="I77">
        <f>SmtRes!Y98*Source!I91</f>
        <v>1.2962040000000001</v>
      </c>
      <c r="J77">
        <f>SmtRes!AO98</f>
        <v>1</v>
      </c>
      <c r="K77">
        <f>SmtRes!AE98</f>
        <v>851.18</v>
      </c>
      <c r="L77">
        <f>SmtRes!DB98</f>
        <v>774.57</v>
      </c>
      <c r="M77">
        <f>ROUND(ROUND(L77*Source!I91, 6)*1, 2)</f>
        <v>1103.3</v>
      </c>
      <c r="N77">
        <f>SmtRes!AA98</f>
        <v>851.18</v>
      </c>
      <c r="O77">
        <f>ROUND(ROUND(L77*Source!I91, 6)*SmtRes!DA98, 2)</f>
        <v>1103.3</v>
      </c>
      <c r="P77">
        <f>SmtRes!AG98</f>
        <v>0</v>
      </c>
      <c r="Q77">
        <f>SmtRes!DC98</f>
        <v>0</v>
      </c>
      <c r="R77">
        <f>ROUND(ROUND(Q77*Source!I91, 6)*1, 2)</f>
        <v>0</v>
      </c>
      <c r="S77">
        <f>SmtRes!AC98</f>
        <v>0</v>
      </c>
      <c r="T77">
        <f>ROUND(ROUND(Q77*Source!I91, 6)*SmtRes!AK98, 2)</f>
        <v>0</v>
      </c>
      <c r="U77">
        <f>SmtRes!X98</f>
        <v>456507783</v>
      </c>
      <c r="V77">
        <v>-1158088069</v>
      </c>
      <c r="W77">
        <v>-1158088069</v>
      </c>
      <c r="X77">
        <v>3</v>
      </c>
    </row>
    <row r="78" spans="1:24" x14ac:dyDescent="0.2">
      <c r="A78">
        <v>20</v>
      </c>
      <c r="B78">
        <v>97</v>
      </c>
      <c r="C78">
        <v>3</v>
      </c>
      <c r="D78">
        <v>0</v>
      </c>
      <c r="E78">
        <f>SmtRes!AV97</f>
        <v>0</v>
      </c>
      <c r="F78" t="str">
        <f>SmtRes!I97</f>
        <v>21.1-25-1004</v>
      </c>
      <c r="G78" t="str">
        <f>SmtRes!K97</f>
        <v>Профили поликарбонатные торцевые для сотового поликарбоната толщиной 10 мм</v>
      </c>
      <c r="H78" t="str">
        <f>SmtRes!O97</f>
        <v>м</v>
      </c>
      <c r="I78">
        <f>SmtRes!Y97*Source!I91</f>
        <v>124.592268</v>
      </c>
      <c r="J78">
        <f>SmtRes!AO97</f>
        <v>1</v>
      </c>
      <c r="K78">
        <f>SmtRes!AE97</f>
        <v>28.43</v>
      </c>
      <c r="L78">
        <f>SmtRes!DB97</f>
        <v>2486.77</v>
      </c>
      <c r="M78">
        <f>ROUND(ROUND(L78*Source!I91, 6)*1, 2)</f>
        <v>3542.16</v>
      </c>
      <c r="N78">
        <f>SmtRes!AA97</f>
        <v>28.43</v>
      </c>
      <c r="O78">
        <f>ROUND(ROUND(L78*Source!I91, 6)*SmtRes!DA97, 2)</f>
        <v>3542.16</v>
      </c>
      <c r="P78">
        <f>SmtRes!AG97</f>
        <v>0</v>
      </c>
      <c r="Q78">
        <f>SmtRes!DC97</f>
        <v>0</v>
      </c>
      <c r="R78">
        <f>ROUND(ROUND(Q78*Source!I91, 6)*1, 2)</f>
        <v>0</v>
      </c>
      <c r="S78">
        <f>SmtRes!AC97</f>
        <v>0</v>
      </c>
      <c r="T78">
        <f>ROUND(ROUND(Q78*Source!I91, 6)*SmtRes!AK97, 2)</f>
        <v>0</v>
      </c>
      <c r="U78">
        <f>SmtRes!X97</f>
        <v>-474683052</v>
      </c>
      <c r="V78">
        <v>556144948</v>
      </c>
      <c r="W78">
        <v>556144948</v>
      </c>
      <c r="X78">
        <v>3</v>
      </c>
    </row>
    <row r="79" spans="1:24" x14ac:dyDescent="0.2">
      <c r="A79">
        <v>20</v>
      </c>
      <c r="B79">
        <v>96</v>
      </c>
      <c r="C79">
        <v>3</v>
      </c>
      <c r="D79">
        <v>0</v>
      </c>
      <c r="E79">
        <f>SmtRes!AV96</f>
        <v>0</v>
      </c>
      <c r="F79" t="str">
        <f>SmtRes!I96</f>
        <v>21.1-25-1002</v>
      </c>
      <c r="G79" t="str">
        <f>SmtRes!K96</f>
        <v>Пластик поликарбонатный ячеистый для остекления, толщина 10 мм</v>
      </c>
      <c r="H79" t="str">
        <f>SmtRes!O96</f>
        <v>м2</v>
      </c>
      <c r="I79">
        <f>SmtRes!Y96*Source!I91</f>
        <v>144.57660000000001</v>
      </c>
      <c r="J79">
        <f>SmtRes!AO96</f>
        <v>1</v>
      </c>
      <c r="K79">
        <f>SmtRes!AE96</f>
        <v>245.08</v>
      </c>
      <c r="L79">
        <f>SmtRes!DB96</f>
        <v>24875.62</v>
      </c>
      <c r="M79">
        <f>ROUND(ROUND(L79*Source!I91, 6)*1, 2)</f>
        <v>35432.83</v>
      </c>
      <c r="N79">
        <f>SmtRes!AA96</f>
        <v>245.08</v>
      </c>
      <c r="O79">
        <f>ROUND(ROUND(L79*Source!I91, 6)*SmtRes!DA96, 2)</f>
        <v>35432.83</v>
      </c>
      <c r="P79">
        <f>SmtRes!AG96</f>
        <v>0</v>
      </c>
      <c r="Q79">
        <f>SmtRes!DC96</f>
        <v>0</v>
      </c>
      <c r="R79">
        <f>ROUND(ROUND(Q79*Source!I91, 6)*1, 2)</f>
        <v>0</v>
      </c>
      <c r="S79">
        <f>SmtRes!AC96</f>
        <v>0</v>
      </c>
      <c r="T79">
        <f>ROUND(ROUND(Q79*Source!I91, 6)*SmtRes!AK96, 2)</f>
        <v>0</v>
      </c>
      <c r="U79">
        <f>SmtRes!X96</f>
        <v>-1899152458</v>
      </c>
      <c r="V79">
        <v>1562416936</v>
      </c>
      <c r="W79">
        <v>1562416936</v>
      </c>
      <c r="X79">
        <v>3</v>
      </c>
    </row>
    <row r="80" spans="1:24" x14ac:dyDescent="0.2">
      <c r="A80">
        <v>20</v>
      </c>
      <c r="B80">
        <v>95</v>
      </c>
      <c r="C80">
        <v>3</v>
      </c>
      <c r="D80">
        <v>0</v>
      </c>
      <c r="E80">
        <f>SmtRes!AV95</f>
        <v>0</v>
      </c>
      <c r="F80" t="str">
        <f>SmtRes!I95</f>
        <v>21.1-15-276</v>
      </c>
      <c r="G80" t="str">
        <f>SmtRes!K95</f>
        <v>Ленты герметизирующие алюминиевые самоклеящиеся для сотового поликарбоната толщиной  8 мм, ширина 25 мм, перфорированные</v>
      </c>
      <c r="H80" t="str">
        <f>SmtRes!O95</f>
        <v>м</v>
      </c>
      <c r="I80">
        <f>SmtRes!Y95*Source!I91</f>
        <v>62.289012</v>
      </c>
      <c r="J80">
        <f>SmtRes!AO95</f>
        <v>1</v>
      </c>
      <c r="K80">
        <f>SmtRes!AE95</f>
        <v>32.99</v>
      </c>
      <c r="L80">
        <f>SmtRes!DB95</f>
        <v>1442.65</v>
      </c>
      <c r="M80">
        <f>ROUND(ROUND(L80*Source!I91, 6)*1, 2)</f>
        <v>2054.91</v>
      </c>
      <c r="N80">
        <f>SmtRes!AA95</f>
        <v>32.99</v>
      </c>
      <c r="O80">
        <f>ROUND(ROUND(L80*Source!I91, 6)*SmtRes!DA95, 2)</f>
        <v>2054.91</v>
      </c>
      <c r="P80">
        <f>SmtRes!AG95</f>
        <v>0</v>
      </c>
      <c r="Q80">
        <f>SmtRes!DC95</f>
        <v>0</v>
      </c>
      <c r="R80">
        <f>ROUND(ROUND(Q80*Source!I91, 6)*1, 2)</f>
        <v>0</v>
      </c>
      <c r="S80">
        <f>SmtRes!AC95</f>
        <v>0</v>
      </c>
      <c r="T80">
        <f>ROUND(ROUND(Q80*Source!I91, 6)*SmtRes!AK95, 2)</f>
        <v>0</v>
      </c>
      <c r="U80">
        <f>SmtRes!X95</f>
        <v>1705929729</v>
      </c>
      <c r="V80">
        <v>2025847436</v>
      </c>
      <c r="W80">
        <v>2025847436</v>
      </c>
      <c r="X80">
        <v>3</v>
      </c>
    </row>
    <row r="81" spans="1:24" x14ac:dyDescent="0.2">
      <c r="A81">
        <v>20</v>
      </c>
      <c r="B81">
        <v>94</v>
      </c>
      <c r="C81">
        <v>3</v>
      </c>
      <c r="D81">
        <v>0</v>
      </c>
      <c r="E81">
        <f>SmtRes!AV94</f>
        <v>0</v>
      </c>
      <c r="F81" t="str">
        <f>SmtRes!I94</f>
        <v>21.1-15-275</v>
      </c>
      <c r="G81" t="str">
        <f>SmtRes!K94</f>
        <v>Ленты герметизирующие алюминиевые самоклеящиеся для сотового поликарбоната толщиной 8 мм, ширина 25 мм, сплошные</v>
      </c>
      <c r="H81" t="str">
        <f>SmtRes!O94</f>
        <v>м</v>
      </c>
      <c r="I81">
        <f>SmtRes!Y94*Source!I91</f>
        <v>62.289012</v>
      </c>
      <c r="J81">
        <f>SmtRes!AO94</f>
        <v>1</v>
      </c>
      <c r="K81">
        <f>SmtRes!AE94</f>
        <v>16.09</v>
      </c>
      <c r="L81">
        <f>SmtRes!DB94</f>
        <v>703.62</v>
      </c>
      <c r="M81">
        <f>ROUND(ROUND(L81*Source!I91, 6)*1, 2)</f>
        <v>1002.24</v>
      </c>
      <c r="N81">
        <f>SmtRes!AA94</f>
        <v>16.09</v>
      </c>
      <c r="O81">
        <f>ROUND(ROUND(L81*Source!I91, 6)*SmtRes!DA94, 2)</f>
        <v>1002.24</v>
      </c>
      <c r="P81">
        <f>SmtRes!AG94</f>
        <v>0</v>
      </c>
      <c r="Q81">
        <f>SmtRes!DC94</f>
        <v>0</v>
      </c>
      <c r="R81">
        <f>ROUND(ROUND(Q81*Source!I91, 6)*1, 2)</f>
        <v>0</v>
      </c>
      <c r="S81">
        <f>SmtRes!AC94</f>
        <v>0</v>
      </c>
      <c r="T81">
        <f>ROUND(ROUND(Q81*Source!I91, 6)*SmtRes!AK94, 2)</f>
        <v>0</v>
      </c>
      <c r="U81">
        <f>SmtRes!X94</f>
        <v>867992357</v>
      </c>
      <c r="V81">
        <v>-1431842482</v>
      </c>
      <c r="W81">
        <v>-1431842482</v>
      </c>
      <c r="X81">
        <v>3</v>
      </c>
    </row>
    <row r="82" spans="1:24" x14ac:dyDescent="0.2">
      <c r="A82">
        <v>20</v>
      </c>
      <c r="B82">
        <v>93</v>
      </c>
      <c r="C82">
        <v>2</v>
      </c>
      <c r="D82">
        <v>0</v>
      </c>
      <c r="E82">
        <f>SmtRes!AV93</f>
        <v>0</v>
      </c>
      <c r="F82" t="str">
        <f>SmtRes!I93</f>
        <v>22.1-30-56</v>
      </c>
      <c r="G82" t="str">
        <f>SmtRes!K93</f>
        <v>Шуруповерты</v>
      </c>
      <c r="H82" t="str">
        <f>SmtRes!O93</f>
        <v>маш.-ч</v>
      </c>
      <c r="I82">
        <f>SmtRes!Y93*Source!I91</f>
        <v>3.4185600000000003</v>
      </c>
      <c r="J82">
        <f>SmtRes!AO93</f>
        <v>1</v>
      </c>
      <c r="K82">
        <f>SmtRes!AF93</f>
        <v>5.08</v>
      </c>
      <c r="L82">
        <f>SmtRes!DB93</f>
        <v>12.19</v>
      </c>
      <c r="M82">
        <f>ROUND(ROUND(L82*Source!I91, 6)*1, 2)</f>
        <v>17.36</v>
      </c>
      <c r="N82">
        <f>SmtRes!AB93</f>
        <v>5.08</v>
      </c>
      <c r="O82">
        <f>ROUND(ROUND(L82*Source!I91, 6)*SmtRes!DA93, 2)</f>
        <v>17.36</v>
      </c>
      <c r="P82">
        <f>SmtRes!AG93</f>
        <v>0.01</v>
      </c>
      <c r="Q82">
        <f>SmtRes!DC93</f>
        <v>0.02</v>
      </c>
      <c r="R82">
        <f>ROUND(ROUND(Q82*Source!I91, 6)*1, 2)</f>
        <v>0.03</v>
      </c>
      <c r="S82">
        <f>SmtRes!AC93</f>
        <v>0.01</v>
      </c>
      <c r="T82">
        <f>ROUND(ROUND(Q82*Source!I91, 6)*SmtRes!AK93, 2)</f>
        <v>0.03</v>
      </c>
      <c r="U82">
        <f>SmtRes!X93</f>
        <v>-1816839109</v>
      </c>
      <c r="V82">
        <v>-349933635</v>
      </c>
      <c r="W82">
        <v>-349933635</v>
      </c>
      <c r="X82">
        <v>2</v>
      </c>
    </row>
    <row r="83" spans="1:24" x14ac:dyDescent="0.2">
      <c r="A83">
        <v>20</v>
      </c>
      <c r="B83">
        <v>92</v>
      </c>
      <c r="C83">
        <v>2</v>
      </c>
      <c r="D83">
        <v>0</v>
      </c>
      <c r="E83">
        <f>SmtRes!AV92</f>
        <v>0</v>
      </c>
      <c r="F83" t="str">
        <f>SmtRes!I92</f>
        <v>22.1-30-33</v>
      </c>
      <c r="G83" t="str">
        <f>SmtRes!K92</f>
        <v>Лобзики электрические</v>
      </c>
      <c r="H83" t="str">
        <f>SmtRes!O92</f>
        <v>маш.-ч</v>
      </c>
      <c r="I83">
        <f>SmtRes!Y92*Source!I91</f>
        <v>2.9200200000000001</v>
      </c>
      <c r="J83">
        <f>SmtRes!AO92</f>
        <v>1</v>
      </c>
      <c r="K83">
        <f>SmtRes!AF92</f>
        <v>4.58</v>
      </c>
      <c r="L83">
        <f>SmtRes!DB92</f>
        <v>9.39</v>
      </c>
      <c r="M83">
        <f>ROUND(ROUND(L83*Source!I91, 6)*1, 2)</f>
        <v>13.38</v>
      </c>
      <c r="N83">
        <f>SmtRes!AB92</f>
        <v>4.58</v>
      </c>
      <c r="O83">
        <f>ROUND(ROUND(L83*Source!I91, 6)*SmtRes!DA92, 2)</f>
        <v>13.38</v>
      </c>
      <c r="P83">
        <f>SmtRes!AG92</f>
        <v>0.01</v>
      </c>
      <c r="Q83">
        <f>SmtRes!DC92</f>
        <v>0.02</v>
      </c>
      <c r="R83">
        <f>ROUND(ROUND(Q83*Source!I91, 6)*1, 2)</f>
        <v>0.03</v>
      </c>
      <c r="S83">
        <f>SmtRes!AC92</f>
        <v>0.01</v>
      </c>
      <c r="T83">
        <f>ROUND(ROUND(Q83*Source!I91, 6)*SmtRes!AK92, 2)</f>
        <v>0.03</v>
      </c>
      <c r="U83">
        <f>SmtRes!X92</f>
        <v>-1882981761</v>
      </c>
      <c r="V83">
        <v>-423908251</v>
      </c>
      <c r="W83">
        <v>-423908251</v>
      </c>
      <c r="X83">
        <v>2</v>
      </c>
    </row>
    <row r="84" spans="1:24" x14ac:dyDescent="0.2">
      <c r="A84">
        <v>20</v>
      </c>
      <c r="B84">
        <v>91</v>
      </c>
      <c r="C84">
        <v>2</v>
      </c>
      <c r="D84">
        <v>0</v>
      </c>
      <c r="E84">
        <f>SmtRes!AV91</f>
        <v>0</v>
      </c>
      <c r="F84" t="str">
        <f>SmtRes!I91</f>
        <v>22.1-30-102</v>
      </c>
      <c r="G84" t="str">
        <f>SmtRes!K91</f>
        <v>Дрели электрические, двухскоростные, мощностью 600 Вт</v>
      </c>
      <c r="H84" t="str">
        <f>SmtRes!O91</f>
        <v>маш.-ч</v>
      </c>
      <c r="I84">
        <f>SmtRes!Y91*Source!I91</f>
        <v>17.035824000000002</v>
      </c>
      <c r="J84">
        <f>SmtRes!AO91</f>
        <v>1</v>
      </c>
      <c r="K84">
        <f>SmtRes!AF91</f>
        <v>7.44</v>
      </c>
      <c r="L84">
        <f>SmtRes!DB91</f>
        <v>88.98</v>
      </c>
      <c r="M84">
        <f>ROUND(ROUND(L84*Source!I91, 6)*1, 2)</f>
        <v>126.74</v>
      </c>
      <c r="N84">
        <f>SmtRes!AB91</f>
        <v>7.44</v>
      </c>
      <c r="O84">
        <f>ROUND(ROUND(L84*Source!I91, 6)*SmtRes!DA91, 2)</f>
        <v>126.74</v>
      </c>
      <c r="P84">
        <f>SmtRes!AG91</f>
        <v>0.98</v>
      </c>
      <c r="Q84">
        <f>SmtRes!DC91</f>
        <v>11.72</v>
      </c>
      <c r="R84">
        <f>ROUND(ROUND(Q84*Source!I91, 6)*1, 2)</f>
        <v>16.690000000000001</v>
      </c>
      <c r="S84">
        <f>SmtRes!AC91</f>
        <v>0.98</v>
      </c>
      <c r="T84">
        <f>ROUND(ROUND(Q84*Source!I91, 6)*SmtRes!AK91, 2)</f>
        <v>16.690000000000001</v>
      </c>
      <c r="U84">
        <f>SmtRes!X91</f>
        <v>-1222982568</v>
      </c>
      <c r="V84">
        <v>-2110789947</v>
      </c>
      <c r="W84">
        <v>-2110789947</v>
      </c>
      <c r="X84">
        <v>2</v>
      </c>
    </row>
    <row r="85" spans="1:24" x14ac:dyDescent="0.2">
      <c r="A85">
        <v>20</v>
      </c>
      <c r="B85">
        <v>111</v>
      </c>
      <c r="C85">
        <v>3</v>
      </c>
      <c r="D85">
        <v>0</v>
      </c>
      <c r="E85">
        <f>SmtRes!AV111</f>
        <v>0</v>
      </c>
      <c r="F85" t="str">
        <f>SmtRes!I111</f>
        <v>21.6-1-50</v>
      </c>
      <c r="G85" t="str">
        <f>SmtRes!K111</f>
        <v>Отдельные конструктивные элементы с преобладанием горячекатаных профилей, средняя масса сборочной единицы от 0,11 до 0,5 т</v>
      </c>
      <c r="H85" t="str">
        <f>SmtRes!O111</f>
        <v>т</v>
      </c>
      <c r="I85">
        <f>SmtRes!Y111*Source!I92</f>
        <v>1.3199999999999998E-2</v>
      </c>
      <c r="J85">
        <f>SmtRes!AO111</f>
        <v>1</v>
      </c>
      <c r="K85">
        <f>SmtRes!AE111</f>
        <v>75026.559999999998</v>
      </c>
      <c r="L85">
        <f>SmtRes!DB111</f>
        <v>825.29</v>
      </c>
      <c r="M85">
        <f>ROUND(ROUND(L85*Source!I92, 6)*1, 2)</f>
        <v>990.35</v>
      </c>
      <c r="N85">
        <f>SmtRes!AA111</f>
        <v>75026.559999999998</v>
      </c>
      <c r="O85">
        <f>ROUND(ROUND(L85*Source!I92, 6)*SmtRes!DA111, 2)</f>
        <v>990.35</v>
      </c>
      <c r="P85">
        <f>SmtRes!AG111</f>
        <v>0</v>
      </c>
      <c r="Q85">
        <f>SmtRes!DC111</f>
        <v>0</v>
      </c>
      <c r="R85">
        <f>ROUND(ROUND(Q85*Source!I92, 6)*1, 2)</f>
        <v>0</v>
      </c>
      <c r="S85">
        <f>SmtRes!AC111</f>
        <v>0</v>
      </c>
      <c r="T85">
        <f>ROUND(ROUND(Q85*Source!I92, 6)*SmtRes!AK111, 2)</f>
        <v>0</v>
      </c>
      <c r="U85">
        <f>SmtRes!X111</f>
        <v>-368355619</v>
      </c>
      <c r="V85">
        <v>368483730</v>
      </c>
      <c r="W85">
        <v>368483730</v>
      </c>
      <c r="X85">
        <v>3</v>
      </c>
    </row>
    <row r="86" spans="1:24" x14ac:dyDescent="0.2">
      <c r="A86">
        <v>20</v>
      </c>
      <c r="B86">
        <v>110</v>
      </c>
      <c r="C86">
        <v>3</v>
      </c>
      <c r="D86">
        <v>0</v>
      </c>
      <c r="E86">
        <f>SmtRes!AV110</f>
        <v>0</v>
      </c>
      <c r="F86" t="str">
        <f>SmtRes!I110</f>
        <v>21.1-11-13</v>
      </c>
      <c r="G86" t="str">
        <f>SmtRes!K110</f>
        <v>Болты строительные анкерные с гайками</v>
      </c>
      <c r="H86" t="str">
        <f>SmtRes!O110</f>
        <v>т</v>
      </c>
      <c r="I86">
        <f>SmtRes!Y110*Source!I92</f>
        <v>2.3999999999999998E-3</v>
      </c>
      <c r="J86">
        <f>SmtRes!AO110</f>
        <v>1</v>
      </c>
      <c r="K86">
        <f>SmtRes!AE110</f>
        <v>153777.19</v>
      </c>
      <c r="L86">
        <f>SmtRes!DB110</f>
        <v>307.55</v>
      </c>
      <c r="M86">
        <f>ROUND(ROUND(L86*Source!I92, 6)*1, 2)</f>
        <v>369.06</v>
      </c>
      <c r="N86">
        <f>SmtRes!AA110</f>
        <v>153777.19</v>
      </c>
      <c r="O86">
        <f>ROUND(ROUND(L86*Source!I92, 6)*SmtRes!DA110, 2)</f>
        <v>369.06</v>
      </c>
      <c r="P86">
        <f>SmtRes!AG110</f>
        <v>0</v>
      </c>
      <c r="Q86">
        <f>SmtRes!DC110</f>
        <v>0</v>
      </c>
      <c r="R86">
        <f>ROUND(ROUND(Q86*Source!I92, 6)*1, 2)</f>
        <v>0</v>
      </c>
      <c r="S86">
        <f>SmtRes!AC110</f>
        <v>0</v>
      </c>
      <c r="T86">
        <f>ROUND(ROUND(Q86*Source!I92, 6)*SmtRes!AK110, 2)</f>
        <v>0</v>
      </c>
      <c r="U86">
        <f>SmtRes!X110</f>
        <v>-1675384158</v>
      </c>
      <c r="V86">
        <v>-76456781</v>
      </c>
      <c r="W86">
        <v>-76456781</v>
      </c>
      <c r="X86">
        <v>3</v>
      </c>
    </row>
    <row r="87" spans="1:24" x14ac:dyDescent="0.2">
      <c r="A87">
        <v>20</v>
      </c>
      <c r="B87">
        <v>109</v>
      </c>
      <c r="C87">
        <v>3</v>
      </c>
      <c r="D87">
        <v>0</v>
      </c>
      <c r="E87">
        <f>SmtRes!AV109</f>
        <v>0</v>
      </c>
      <c r="F87" t="str">
        <f>SmtRes!I109</f>
        <v>21.1-10-264</v>
      </c>
      <c r="G87" t="str">
        <f>SmtRes!K109</f>
        <v>Профили стальные оцинкованные, марка Н60-845-0,7</v>
      </c>
      <c r="H87" t="str">
        <f>SmtRes!O109</f>
        <v>м2</v>
      </c>
      <c r="I87">
        <f>SmtRes!Y109*Source!I92</f>
        <v>120</v>
      </c>
      <c r="J87">
        <f>SmtRes!AO109</f>
        <v>1</v>
      </c>
      <c r="K87">
        <f>SmtRes!AE109</f>
        <v>397.91</v>
      </c>
      <c r="L87">
        <f>SmtRes!DB109</f>
        <v>39791</v>
      </c>
      <c r="M87">
        <f>ROUND(ROUND(L87*Source!I92, 6)*1, 2)</f>
        <v>47749.2</v>
      </c>
      <c r="N87">
        <f>SmtRes!AA109</f>
        <v>397.91</v>
      </c>
      <c r="O87">
        <f>ROUND(ROUND(L87*Source!I92, 6)*SmtRes!DA109, 2)</f>
        <v>47749.2</v>
      </c>
      <c r="P87">
        <f>SmtRes!AG109</f>
        <v>0</v>
      </c>
      <c r="Q87">
        <f>SmtRes!DC109</f>
        <v>0</v>
      </c>
      <c r="R87">
        <f>ROUND(ROUND(Q87*Source!I92, 6)*1, 2)</f>
        <v>0</v>
      </c>
      <c r="S87">
        <f>SmtRes!AC109</f>
        <v>0</v>
      </c>
      <c r="T87">
        <f>ROUND(ROUND(Q87*Source!I92, 6)*SmtRes!AK109, 2)</f>
        <v>0</v>
      </c>
      <c r="U87">
        <f>SmtRes!X109</f>
        <v>-1924715319</v>
      </c>
      <c r="V87">
        <v>358616797</v>
      </c>
      <c r="W87">
        <v>358616797</v>
      </c>
      <c r="X87">
        <v>3</v>
      </c>
    </row>
    <row r="88" spans="1:24" x14ac:dyDescent="0.2">
      <c r="A88">
        <v>20</v>
      </c>
      <c r="B88">
        <v>108</v>
      </c>
      <c r="C88">
        <v>2</v>
      </c>
      <c r="D88">
        <v>0</v>
      </c>
      <c r="E88">
        <f>SmtRes!AV108</f>
        <v>0</v>
      </c>
      <c r="F88" t="str">
        <f>SmtRes!I108</f>
        <v>22.1-4-45</v>
      </c>
      <c r="G88" t="str">
        <f>SmtRes!K108</f>
        <v>Домкраты гидравлические, грузоподъемность до 100 т</v>
      </c>
      <c r="H88" t="str">
        <f>SmtRes!O108</f>
        <v>маш.-ч</v>
      </c>
      <c r="I88">
        <f>SmtRes!Y108*Source!I92</f>
        <v>1.32</v>
      </c>
      <c r="J88">
        <f>SmtRes!AO108</f>
        <v>1</v>
      </c>
      <c r="K88">
        <f>SmtRes!AF108</f>
        <v>10.39</v>
      </c>
      <c r="L88">
        <f>SmtRes!DB108</f>
        <v>11.43</v>
      </c>
      <c r="M88">
        <f>ROUND(ROUND(L88*Source!I92, 6)*1, 2)</f>
        <v>13.72</v>
      </c>
      <c r="N88">
        <f>SmtRes!AB108</f>
        <v>10.39</v>
      </c>
      <c r="O88">
        <f>ROUND(ROUND(L88*Source!I92, 6)*SmtRes!DA108, 2)</f>
        <v>13.72</v>
      </c>
      <c r="P88">
        <f>SmtRes!AG108</f>
        <v>0.03</v>
      </c>
      <c r="Q88">
        <f>SmtRes!DC108</f>
        <v>0.03</v>
      </c>
      <c r="R88">
        <f>ROUND(ROUND(Q88*Source!I92, 6)*1, 2)</f>
        <v>0.04</v>
      </c>
      <c r="S88">
        <f>SmtRes!AC108</f>
        <v>0.03</v>
      </c>
      <c r="T88">
        <f>ROUND(ROUND(Q88*Source!I92, 6)*SmtRes!AK108, 2)</f>
        <v>0.04</v>
      </c>
      <c r="U88">
        <f>SmtRes!X108</f>
        <v>-699398312</v>
      </c>
      <c r="V88">
        <v>-272556929</v>
      </c>
      <c r="W88">
        <v>-272556929</v>
      </c>
      <c r="X88">
        <v>2</v>
      </c>
    </row>
    <row r="89" spans="1:24" x14ac:dyDescent="0.2">
      <c r="A89">
        <v>20</v>
      </c>
      <c r="B89">
        <v>107</v>
      </c>
      <c r="C89">
        <v>2</v>
      </c>
      <c r="D89">
        <v>0</v>
      </c>
      <c r="E89">
        <f>SmtRes!AV107</f>
        <v>0</v>
      </c>
      <c r="F89" t="str">
        <f>SmtRes!I107</f>
        <v>22.1-30-5</v>
      </c>
      <c r="G89" t="str">
        <f>SmtRes!K107</f>
        <v>Машины сверлильные ручные электрические</v>
      </c>
      <c r="H89" t="str">
        <f>SmtRes!O107</f>
        <v>маш.-ч</v>
      </c>
      <c r="I89">
        <f>SmtRes!Y107*Source!I92</f>
        <v>3.6119999999999997</v>
      </c>
      <c r="J89">
        <f>SmtRes!AO107</f>
        <v>1</v>
      </c>
      <c r="K89">
        <f>SmtRes!AF107</f>
        <v>4.71</v>
      </c>
      <c r="L89">
        <f>SmtRes!DB107</f>
        <v>14.18</v>
      </c>
      <c r="M89">
        <f>ROUND(ROUND(L89*Source!I92, 6)*1, 2)</f>
        <v>17.02</v>
      </c>
      <c r="N89">
        <f>SmtRes!AB107</f>
        <v>4.71</v>
      </c>
      <c r="O89">
        <f>ROUND(ROUND(L89*Source!I92, 6)*SmtRes!DA107, 2)</f>
        <v>17.02</v>
      </c>
      <c r="P89">
        <f>SmtRes!AG107</f>
        <v>1.1200000000000001</v>
      </c>
      <c r="Q89">
        <f>SmtRes!DC107</f>
        <v>3.37</v>
      </c>
      <c r="R89">
        <f>ROUND(ROUND(Q89*Source!I92, 6)*1, 2)</f>
        <v>4.04</v>
      </c>
      <c r="S89">
        <f>SmtRes!AC107</f>
        <v>1.1200000000000001</v>
      </c>
      <c r="T89">
        <f>ROUND(ROUND(Q89*Source!I92, 6)*SmtRes!AK107, 2)</f>
        <v>4.04</v>
      </c>
      <c r="U89">
        <f>SmtRes!X107</f>
        <v>-2096205149</v>
      </c>
      <c r="V89">
        <v>-1065957140</v>
      </c>
      <c r="W89">
        <v>-1065957140</v>
      </c>
      <c r="X89">
        <v>2</v>
      </c>
    </row>
    <row r="90" spans="1:24" x14ac:dyDescent="0.2">
      <c r="A90">
        <v>20</v>
      </c>
      <c r="B90">
        <v>106</v>
      </c>
      <c r="C90">
        <v>2</v>
      </c>
      <c r="D90">
        <v>0</v>
      </c>
      <c r="E90">
        <f>SmtRes!AV106</f>
        <v>0</v>
      </c>
      <c r="F90" t="str">
        <f>SmtRes!I106</f>
        <v>22.1-30-46</v>
      </c>
      <c r="G90" t="str">
        <f>SmtRes!K106</f>
        <v>Преобразователи частоты тока до 500 А</v>
      </c>
      <c r="H90" t="str">
        <f>SmtRes!O106</f>
        <v>маш.-ч</v>
      </c>
      <c r="I90">
        <f>SmtRes!Y106*Source!I92</f>
        <v>0.24</v>
      </c>
      <c r="J90">
        <f>SmtRes!AO106</f>
        <v>1</v>
      </c>
      <c r="K90">
        <f>SmtRes!AF106</f>
        <v>27.02</v>
      </c>
      <c r="L90">
        <f>SmtRes!DB106</f>
        <v>5.4</v>
      </c>
      <c r="M90">
        <f>ROUND(ROUND(L90*Source!I92, 6)*1, 2)</f>
        <v>6.48</v>
      </c>
      <c r="N90">
        <f>SmtRes!AB106</f>
        <v>27.02</v>
      </c>
      <c r="O90">
        <f>ROUND(ROUND(L90*Source!I92, 6)*SmtRes!DA106, 2)</f>
        <v>6.48</v>
      </c>
      <c r="P90">
        <f>SmtRes!AG106</f>
        <v>0.03</v>
      </c>
      <c r="Q90">
        <f>SmtRes!DC106</f>
        <v>0.01</v>
      </c>
      <c r="R90">
        <f>ROUND(ROUND(Q90*Source!I92, 6)*1, 2)</f>
        <v>0.01</v>
      </c>
      <c r="S90">
        <f>SmtRes!AC106</f>
        <v>0.03</v>
      </c>
      <c r="T90">
        <f>ROUND(ROUND(Q90*Source!I92, 6)*SmtRes!AK106, 2)</f>
        <v>0.01</v>
      </c>
      <c r="U90">
        <f>SmtRes!X106</f>
        <v>118009128</v>
      </c>
      <c r="V90">
        <v>222750254</v>
      </c>
      <c r="W90">
        <v>222750254</v>
      </c>
      <c r="X90">
        <v>2</v>
      </c>
    </row>
    <row r="91" spans="1:24" x14ac:dyDescent="0.2">
      <c r="A91">
        <v>20</v>
      </c>
      <c r="B91">
        <v>105</v>
      </c>
      <c r="C91">
        <v>2</v>
      </c>
      <c r="D91">
        <v>0</v>
      </c>
      <c r="E91">
        <f>SmtRes!AV105</f>
        <v>0</v>
      </c>
      <c r="F91" t="str">
        <f>SmtRes!I105</f>
        <v>22.1-13-21</v>
      </c>
      <c r="G91" t="str">
        <f>SmtRes!K105</f>
        <v>Печи электрические для сушки сварочных материалов с регулированием температуры в пределах 80-500С</v>
      </c>
      <c r="H91" t="str">
        <f>SmtRes!O105</f>
        <v>маш.-ч</v>
      </c>
      <c r="I91">
        <f>SmtRes!Y105*Source!I92</f>
        <v>2.4E-2</v>
      </c>
      <c r="J91">
        <f>SmtRes!AO105</f>
        <v>1</v>
      </c>
      <c r="K91">
        <f>SmtRes!AF105</f>
        <v>41.19</v>
      </c>
      <c r="L91">
        <f>SmtRes!DB105</f>
        <v>0.82</v>
      </c>
      <c r="M91">
        <f>ROUND(ROUND(L91*Source!I92, 6)*1, 2)</f>
        <v>0.98</v>
      </c>
      <c r="N91">
        <f>SmtRes!AB105</f>
        <v>41.19</v>
      </c>
      <c r="O91">
        <f>ROUND(ROUND(L91*Source!I92, 6)*SmtRes!DA105, 2)</f>
        <v>0.98</v>
      </c>
      <c r="P91">
        <f>SmtRes!AG105</f>
        <v>0.34</v>
      </c>
      <c r="Q91">
        <f>SmtRes!DC105</f>
        <v>0.01</v>
      </c>
      <c r="R91">
        <f>ROUND(ROUND(Q91*Source!I92, 6)*1, 2)</f>
        <v>0.01</v>
      </c>
      <c r="S91">
        <f>SmtRes!AC105</f>
        <v>0.34</v>
      </c>
      <c r="T91">
        <f>ROUND(ROUND(Q91*Source!I92, 6)*SmtRes!AK105, 2)</f>
        <v>0.01</v>
      </c>
      <c r="U91">
        <f>SmtRes!X105</f>
        <v>844705367</v>
      </c>
      <c r="V91">
        <v>953863627</v>
      </c>
      <c r="W91">
        <v>953863627</v>
      </c>
      <c r="X91">
        <v>2</v>
      </c>
    </row>
    <row r="92" spans="1:24" x14ac:dyDescent="0.2">
      <c r="A92">
        <f>Source!A154</f>
        <v>4</v>
      </c>
      <c r="B92">
        <v>154</v>
      </c>
      <c r="G92" t="str">
        <f>Source!G154</f>
        <v>Игровые и спортивные площадки</v>
      </c>
    </row>
    <row r="93" spans="1:24" x14ac:dyDescent="0.2">
      <c r="A93">
        <f>Source!A158</f>
        <v>5</v>
      </c>
      <c r="B93">
        <v>158</v>
      </c>
      <c r="G93" t="str">
        <f>Source!G158</f>
        <v>Демонтажные работы</v>
      </c>
    </row>
    <row r="94" spans="1:24" x14ac:dyDescent="0.2">
      <c r="A94">
        <v>20</v>
      </c>
      <c r="B94">
        <v>113</v>
      </c>
      <c r="C94">
        <v>2</v>
      </c>
      <c r="D94">
        <v>0</v>
      </c>
      <c r="E94">
        <f>SmtRes!AV113</f>
        <v>0</v>
      </c>
      <c r="F94" t="str">
        <f>SmtRes!I113</f>
        <v>22.1-4-31</v>
      </c>
      <c r="G94" t="str">
        <f>SmtRes!K113</f>
        <v>Лебедки электрические, грузоподъемность до 1,5 т</v>
      </c>
      <c r="H94" t="str">
        <f>SmtRes!O113</f>
        <v>маш.-ч</v>
      </c>
      <c r="I94">
        <f>SmtRes!Y113*Source!I162</f>
        <v>8.3600000000000012</v>
      </c>
      <c r="J94">
        <f>SmtRes!AO113</f>
        <v>1</v>
      </c>
      <c r="K94">
        <f>SmtRes!AF113</f>
        <v>31</v>
      </c>
      <c r="L94">
        <f>SmtRes!DB113</f>
        <v>117.8</v>
      </c>
      <c r="M94">
        <f>ROUND(ROUND(L94*Source!I162, 6)*1, 2)</f>
        <v>259.16000000000003</v>
      </c>
      <c r="N94">
        <f>SmtRes!AB113</f>
        <v>31</v>
      </c>
      <c r="O94">
        <f>ROUND(ROUND(L94*Source!I162, 6)*SmtRes!DA113, 2)</f>
        <v>259.16000000000003</v>
      </c>
      <c r="P94">
        <f>SmtRes!AG113</f>
        <v>1.35</v>
      </c>
      <c r="Q94">
        <f>SmtRes!DC113</f>
        <v>5.13</v>
      </c>
      <c r="R94">
        <f>ROUND(ROUND(Q94*Source!I162, 6)*1, 2)</f>
        <v>11.29</v>
      </c>
      <c r="S94">
        <f>SmtRes!AC113</f>
        <v>1.35</v>
      </c>
      <c r="T94">
        <f>ROUND(ROUND(Q94*Source!I162, 6)*SmtRes!AK113, 2)</f>
        <v>11.29</v>
      </c>
      <c r="U94">
        <f>SmtRes!X113</f>
        <v>-204835879</v>
      </c>
      <c r="V94">
        <v>1844315211</v>
      </c>
      <c r="W94">
        <v>1844315211</v>
      </c>
      <c r="X94">
        <v>2</v>
      </c>
    </row>
    <row r="95" spans="1:24" x14ac:dyDescent="0.2">
      <c r="A95">
        <f>Source!A195</f>
        <v>5</v>
      </c>
      <c r="B95">
        <v>195</v>
      </c>
      <c r="G95" t="str">
        <f>Source!G195</f>
        <v>Строительные работы</v>
      </c>
    </row>
    <row r="96" spans="1:24" x14ac:dyDescent="0.2">
      <c r="A96">
        <v>20</v>
      </c>
      <c r="B96">
        <v>120</v>
      </c>
      <c r="C96">
        <v>2</v>
      </c>
      <c r="D96">
        <v>0</v>
      </c>
      <c r="E96">
        <f>SmtRes!AV120</f>
        <v>0</v>
      </c>
      <c r="F96" t="str">
        <f>SmtRes!I120</f>
        <v>22.1-30-1</v>
      </c>
      <c r="G96" t="str">
        <f>SmtRes!K120</f>
        <v>Трамбовки пневматические</v>
      </c>
      <c r="H96" t="str">
        <f>SmtRes!O120</f>
        <v>маш.-ч</v>
      </c>
      <c r="I96">
        <f>SmtRes!Y120*Source!I200</f>
        <v>9.9383999999999979</v>
      </c>
      <c r="J96">
        <f>SmtRes!AO120</f>
        <v>1</v>
      </c>
      <c r="K96">
        <f>SmtRes!AF120</f>
        <v>3.75</v>
      </c>
      <c r="L96">
        <f>SmtRes!DB120</f>
        <v>49.2</v>
      </c>
      <c r="M96">
        <f>ROUND(ROUND(L96*Source!I200, 6)*1, 2)</f>
        <v>37.270000000000003</v>
      </c>
      <c r="N96">
        <f>SmtRes!AB120</f>
        <v>3.75</v>
      </c>
      <c r="O96">
        <f>ROUND(ROUND(L96*Source!I200, 6)*SmtRes!DA120, 2)</f>
        <v>37.270000000000003</v>
      </c>
      <c r="P96">
        <f>SmtRes!AG120</f>
        <v>2.56</v>
      </c>
      <c r="Q96">
        <f>SmtRes!DC120</f>
        <v>33.590000000000003</v>
      </c>
      <c r="R96">
        <f>ROUND(ROUND(Q96*Source!I200, 6)*1, 2)</f>
        <v>25.44</v>
      </c>
      <c r="S96">
        <f>SmtRes!AC120</f>
        <v>2.56</v>
      </c>
      <c r="T96">
        <f>ROUND(ROUND(Q96*Source!I200, 6)*SmtRes!AK120, 2)</f>
        <v>25.44</v>
      </c>
      <c r="U96">
        <f>SmtRes!X120</f>
        <v>-1383996176</v>
      </c>
      <c r="V96">
        <v>456524966</v>
      </c>
      <c r="W96">
        <v>456524966</v>
      </c>
      <c r="X96">
        <v>2</v>
      </c>
    </row>
    <row r="97" spans="1:24" x14ac:dyDescent="0.2">
      <c r="A97">
        <v>20</v>
      </c>
      <c r="B97">
        <v>119</v>
      </c>
      <c r="C97">
        <v>2</v>
      </c>
      <c r="D97">
        <v>0</v>
      </c>
      <c r="E97">
        <f>SmtRes!AV119</f>
        <v>0</v>
      </c>
      <c r="F97" t="str">
        <f>SmtRes!I119</f>
        <v>22.1-10-5</v>
      </c>
      <c r="G97" t="str">
        <f>SmtRes!K119</f>
        <v>Компрессоры с дизельным двигателем прицепные до 5 м3/мин</v>
      </c>
      <c r="H97" t="str">
        <f>SmtRes!O119</f>
        <v>маш.-ч</v>
      </c>
      <c r="I97">
        <f>SmtRes!Y119*Source!I200</f>
        <v>9.9383999999999979</v>
      </c>
      <c r="J97">
        <f>SmtRes!AO119</f>
        <v>1</v>
      </c>
      <c r="K97">
        <f>SmtRes!AF119</f>
        <v>744.2</v>
      </c>
      <c r="L97">
        <f>SmtRes!DB119</f>
        <v>9763.9</v>
      </c>
      <c r="M97">
        <f>ROUND(ROUND(L97*Source!I200, 6)*1, 2)</f>
        <v>7396.15</v>
      </c>
      <c r="N97">
        <f>SmtRes!AB119</f>
        <v>744.2</v>
      </c>
      <c r="O97">
        <f>ROUND(ROUND(L97*Source!I200, 6)*SmtRes!DA119, 2)</f>
        <v>7396.15</v>
      </c>
      <c r="P97">
        <f>SmtRes!AG119</f>
        <v>423.17</v>
      </c>
      <c r="Q97">
        <f>SmtRes!DC119</f>
        <v>5551.99</v>
      </c>
      <c r="R97">
        <f>ROUND(ROUND(Q97*Source!I200, 6)*1, 2)</f>
        <v>4205.63</v>
      </c>
      <c r="S97">
        <f>SmtRes!AC119</f>
        <v>423.17</v>
      </c>
      <c r="T97">
        <f>ROUND(ROUND(Q97*Source!I200, 6)*SmtRes!AK119, 2)</f>
        <v>4205.63</v>
      </c>
      <c r="U97">
        <f>SmtRes!X119</f>
        <v>734322642</v>
      </c>
      <c r="V97">
        <v>158304140</v>
      </c>
      <c r="W97">
        <v>158304140</v>
      </c>
      <c r="X97">
        <v>2</v>
      </c>
    </row>
    <row r="98" spans="1:24" x14ac:dyDescent="0.2">
      <c r="A98">
        <v>20</v>
      </c>
      <c r="B98">
        <v>124</v>
      </c>
      <c r="C98">
        <v>3</v>
      </c>
      <c r="D98">
        <v>0</v>
      </c>
      <c r="E98">
        <f>SmtRes!AV124</f>
        <v>0</v>
      </c>
      <c r="F98" t="str">
        <f>SmtRes!I124</f>
        <v>21.1-12-11</v>
      </c>
      <c r="G98" t="str">
        <f>SmtRes!K124</f>
        <v>Песок для строительных работ, рядовой</v>
      </c>
      <c r="H98" t="str">
        <f>SmtRes!O124</f>
        <v>м3</v>
      </c>
      <c r="I98">
        <f>SmtRes!Y124*Source!I201</f>
        <v>67.872000000000014</v>
      </c>
      <c r="J98">
        <f>SmtRes!AO124</f>
        <v>1</v>
      </c>
      <c r="K98">
        <f>SmtRes!AE124</f>
        <v>590.78</v>
      </c>
      <c r="L98">
        <f>SmtRes!DB124</f>
        <v>661.67</v>
      </c>
      <c r="M98">
        <f>ROUND(ROUND(L98*Source!I201, 6)*1, 2)</f>
        <v>40097.199999999997</v>
      </c>
      <c r="N98">
        <f>SmtRes!AA124</f>
        <v>590.78</v>
      </c>
      <c r="O98">
        <f>ROUND(ROUND(L98*Source!I201, 6)*SmtRes!DA124, 2)</f>
        <v>40097.199999999997</v>
      </c>
      <c r="P98">
        <f>SmtRes!AG124</f>
        <v>0</v>
      </c>
      <c r="Q98">
        <f>SmtRes!DC124</f>
        <v>0</v>
      </c>
      <c r="R98">
        <f>ROUND(ROUND(Q98*Source!I201, 6)*1, 2)</f>
        <v>0</v>
      </c>
      <c r="S98">
        <f>SmtRes!AC124</f>
        <v>0</v>
      </c>
      <c r="T98">
        <f>ROUND(ROUND(Q98*Source!I201, 6)*SmtRes!AK124, 2)</f>
        <v>0</v>
      </c>
      <c r="U98">
        <f>SmtRes!X124</f>
        <v>-1662970571</v>
      </c>
      <c r="V98">
        <v>496958337</v>
      </c>
      <c r="W98">
        <v>496958337</v>
      </c>
      <c r="X98">
        <v>3</v>
      </c>
    </row>
    <row r="99" spans="1:24" x14ac:dyDescent="0.2">
      <c r="A99">
        <v>20</v>
      </c>
      <c r="B99">
        <v>123</v>
      </c>
      <c r="C99">
        <v>2</v>
      </c>
      <c r="D99">
        <v>0</v>
      </c>
      <c r="E99">
        <f>SmtRes!AV123</f>
        <v>0</v>
      </c>
      <c r="F99" t="str">
        <f>SmtRes!I123</f>
        <v>22.1-30-1</v>
      </c>
      <c r="G99" t="str">
        <f>SmtRes!K123</f>
        <v>Трамбовки пневматические</v>
      </c>
      <c r="H99" t="str">
        <f>SmtRes!O123</f>
        <v>маш.-ч</v>
      </c>
      <c r="I99">
        <f>SmtRes!Y123*Source!I201</f>
        <v>23.028000000000002</v>
      </c>
      <c r="J99">
        <f>SmtRes!AO123</f>
        <v>1</v>
      </c>
      <c r="K99">
        <f>SmtRes!AF123</f>
        <v>3.75</v>
      </c>
      <c r="L99">
        <f>SmtRes!DB123</f>
        <v>1.43</v>
      </c>
      <c r="M99">
        <f>ROUND(ROUND(L99*Source!I201, 6)*1, 2)</f>
        <v>86.66</v>
      </c>
      <c r="N99">
        <f>SmtRes!AB123</f>
        <v>3.75</v>
      </c>
      <c r="O99">
        <f>ROUND(ROUND(L99*Source!I201, 6)*SmtRes!DA123, 2)</f>
        <v>86.66</v>
      </c>
      <c r="P99">
        <f>SmtRes!AG123</f>
        <v>2.56</v>
      </c>
      <c r="Q99">
        <f>SmtRes!DC123</f>
        <v>0.97</v>
      </c>
      <c r="R99">
        <f>ROUND(ROUND(Q99*Source!I201, 6)*1, 2)</f>
        <v>58.78</v>
      </c>
      <c r="S99">
        <f>SmtRes!AC123</f>
        <v>2.56</v>
      </c>
      <c r="T99">
        <f>ROUND(ROUND(Q99*Source!I201, 6)*SmtRes!AK123, 2)</f>
        <v>58.78</v>
      </c>
      <c r="U99">
        <f>SmtRes!X123</f>
        <v>-1383996176</v>
      </c>
      <c r="V99">
        <v>456524966</v>
      </c>
      <c r="W99">
        <v>456524966</v>
      </c>
      <c r="X99">
        <v>2</v>
      </c>
    </row>
    <row r="100" spans="1:24" x14ac:dyDescent="0.2">
      <c r="A100">
        <v>20</v>
      </c>
      <c r="B100">
        <v>122</v>
      </c>
      <c r="C100">
        <v>2</v>
      </c>
      <c r="D100">
        <v>0</v>
      </c>
      <c r="E100">
        <f>SmtRes!AV122</f>
        <v>0</v>
      </c>
      <c r="F100" t="str">
        <f>SmtRes!I122</f>
        <v>22.1-10-5</v>
      </c>
      <c r="G100" t="str">
        <f>SmtRes!K122</f>
        <v>Компрессоры с дизельным двигателем прицепные до 5 м3/мин</v>
      </c>
      <c r="H100" t="str">
        <f>SmtRes!O122</f>
        <v>маш.-ч</v>
      </c>
      <c r="I100">
        <f>SmtRes!Y122*Source!I201</f>
        <v>23.028000000000002</v>
      </c>
      <c r="J100">
        <f>SmtRes!AO122</f>
        <v>1</v>
      </c>
      <c r="K100">
        <f>SmtRes!AF122</f>
        <v>744.2</v>
      </c>
      <c r="L100">
        <f>SmtRes!DB122</f>
        <v>282.8</v>
      </c>
      <c r="M100">
        <f>ROUND(ROUND(L100*Source!I201, 6)*1, 2)</f>
        <v>17137.68</v>
      </c>
      <c r="N100">
        <f>SmtRes!AB122</f>
        <v>744.2</v>
      </c>
      <c r="O100">
        <f>ROUND(ROUND(L100*Source!I201, 6)*SmtRes!DA122, 2)</f>
        <v>17137.68</v>
      </c>
      <c r="P100">
        <f>SmtRes!AG122</f>
        <v>423.17</v>
      </c>
      <c r="Q100">
        <f>SmtRes!DC122</f>
        <v>160.80000000000001</v>
      </c>
      <c r="R100">
        <f>ROUND(ROUND(Q100*Source!I201, 6)*1, 2)</f>
        <v>9744.48</v>
      </c>
      <c r="S100">
        <f>SmtRes!AC122</f>
        <v>423.17</v>
      </c>
      <c r="T100">
        <f>ROUND(ROUND(Q100*Source!I201, 6)*SmtRes!AK122, 2)</f>
        <v>9744.48</v>
      </c>
      <c r="U100">
        <f>SmtRes!X122</f>
        <v>734322642</v>
      </c>
      <c r="V100">
        <v>158304140</v>
      </c>
      <c r="W100">
        <v>158304140</v>
      </c>
      <c r="X100">
        <v>2</v>
      </c>
    </row>
    <row r="101" spans="1:24" x14ac:dyDescent="0.2">
      <c r="A101">
        <v>20</v>
      </c>
      <c r="B101">
        <v>127</v>
      </c>
      <c r="C101">
        <v>3</v>
      </c>
      <c r="D101">
        <v>0</v>
      </c>
      <c r="E101">
        <f>SmtRes!AV127</f>
        <v>0</v>
      </c>
      <c r="F101" t="str">
        <f>SmtRes!I127</f>
        <v>21.3-1-69</v>
      </c>
      <c r="G101" t="str">
        <f>SmtRes!K127</f>
        <v>Смеси бетонные, БСГ, тяжелого бетона на гранитном щебне, класс прочности: В15 (М200); П3, фракция 5-20, F50-100, W0-2</v>
      </c>
      <c r="H101" t="str">
        <f>SmtRes!O127</f>
        <v>м3</v>
      </c>
      <c r="I101">
        <f>SmtRes!Y127*Source!I202</f>
        <v>12.388</v>
      </c>
      <c r="J101">
        <f>SmtRes!AO127</f>
        <v>1</v>
      </c>
      <c r="K101">
        <f>SmtRes!AE127</f>
        <v>3714.73</v>
      </c>
      <c r="L101">
        <f>SmtRes!DB127</f>
        <v>282.32</v>
      </c>
      <c r="M101">
        <f>ROUND(ROUND(L101*Source!I202, 6)*1, 2)</f>
        <v>46018.16</v>
      </c>
      <c r="N101">
        <f>SmtRes!AA127</f>
        <v>3714.73</v>
      </c>
      <c r="O101">
        <f>ROUND(ROUND(L101*Source!I202, 6)*SmtRes!DA127, 2)</f>
        <v>46018.16</v>
      </c>
      <c r="P101">
        <f>SmtRes!AG127</f>
        <v>0</v>
      </c>
      <c r="Q101">
        <f>SmtRes!DC127</f>
        <v>0</v>
      </c>
      <c r="R101">
        <f>ROUND(ROUND(Q101*Source!I202, 6)*1, 2)</f>
        <v>0</v>
      </c>
      <c r="S101">
        <f>SmtRes!AC127</f>
        <v>0</v>
      </c>
      <c r="T101">
        <f>ROUND(ROUND(Q101*Source!I202, 6)*SmtRes!AK127, 2)</f>
        <v>0</v>
      </c>
      <c r="U101">
        <f>SmtRes!X127</f>
        <v>-697630842</v>
      </c>
      <c r="V101">
        <v>-887866689</v>
      </c>
      <c r="W101">
        <v>-887866689</v>
      </c>
      <c r="X101">
        <v>3</v>
      </c>
    </row>
    <row r="102" spans="1:24" x14ac:dyDescent="0.2">
      <c r="A102">
        <v>20</v>
      </c>
      <c r="B102">
        <v>126</v>
      </c>
      <c r="C102">
        <v>3</v>
      </c>
      <c r="D102">
        <v>0</v>
      </c>
      <c r="E102">
        <f>SmtRes!AV126</f>
        <v>0</v>
      </c>
      <c r="F102" t="str">
        <f>SmtRes!I126</f>
        <v>21.1-2-13</v>
      </c>
      <c r="G102" t="str">
        <f>SmtRes!K126</f>
        <v>Цемент общестроительный, портландцемент общего назначения, марка 400</v>
      </c>
      <c r="H102" t="str">
        <f>SmtRes!O126</f>
        <v>т</v>
      </c>
      <c r="I102">
        <f>SmtRes!Y126*Source!I202</f>
        <v>0.71720000000000006</v>
      </c>
      <c r="J102">
        <f>SmtRes!AO126</f>
        <v>1</v>
      </c>
      <c r="K102">
        <f>SmtRes!AE126</f>
        <v>4207.5</v>
      </c>
      <c r="L102">
        <f>SmtRes!DB126</f>
        <v>18.510000000000002</v>
      </c>
      <c r="M102">
        <f>ROUND(ROUND(L102*Source!I202, 6)*1, 2)</f>
        <v>3017.13</v>
      </c>
      <c r="N102">
        <f>SmtRes!AA126</f>
        <v>4207.5</v>
      </c>
      <c r="O102">
        <f>ROUND(ROUND(L102*Source!I202, 6)*SmtRes!DA126, 2)</f>
        <v>3017.13</v>
      </c>
      <c r="P102">
        <f>SmtRes!AG126</f>
        <v>0</v>
      </c>
      <c r="Q102">
        <f>SmtRes!DC126</f>
        <v>0</v>
      </c>
      <c r="R102">
        <f>ROUND(ROUND(Q102*Source!I202, 6)*1, 2)</f>
        <v>0</v>
      </c>
      <c r="S102">
        <f>SmtRes!AC126</f>
        <v>0</v>
      </c>
      <c r="T102">
        <f>ROUND(ROUND(Q102*Source!I202, 6)*SmtRes!AK126, 2)</f>
        <v>0</v>
      </c>
      <c r="U102">
        <f>SmtRes!X126</f>
        <v>213373920</v>
      </c>
      <c r="V102">
        <v>-1263609757</v>
      </c>
      <c r="W102">
        <v>-1263609757</v>
      </c>
      <c r="X102">
        <v>3</v>
      </c>
    </row>
    <row r="103" spans="1:24" x14ac:dyDescent="0.2">
      <c r="A103">
        <f>Source!A203</f>
        <v>18</v>
      </c>
      <c r="B103">
        <v>203</v>
      </c>
      <c r="C103">
        <v>3</v>
      </c>
      <c r="D103">
        <f>Source!BI203</f>
        <v>4</v>
      </c>
      <c r="E103">
        <f>Source!FS203</f>
        <v>0</v>
      </c>
      <c r="F103" t="str">
        <f>Source!F203</f>
        <v>21.5-3-12</v>
      </c>
      <c r="G103" t="str">
        <f>Source!G203</f>
        <v>Камни бетонные бортовые, марка БР60.20.8</v>
      </c>
      <c r="H103" t="str">
        <f>Source!H203</f>
        <v>м3</v>
      </c>
      <c r="I103">
        <f>Source!I203</f>
        <v>1.6300000000000001</v>
      </c>
      <c r="J103">
        <v>1</v>
      </c>
      <c r="K103">
        <f>Source!AC203</f>
        <v>9014.9</v>
      </c>
      <c r="M103">
        <f>ROUND(K103*I103, 2)</f>
        <v>14694.29</v>
      </c>
      <c r="N103">
        <f>Source!AC203*IF(Source!BC203&lt;&gt; 0, Source!BC203, 1)</f>
        <v>9014.9</v>
      </c>
      <c r="O103">
        <f>ROUND(N103*I103, 2)</f>
        <v>14694.29</v>
      </c>
      <c r="P103">
        <f>Source!AE203</f>
        <v>0</v>
      </c>
      <c r="R103">
        <f>ROUND(P103*I103, 2)</f>
        <v>0</v>
      </c>
      <c r="S103">
        <f>Source!AE203*IF(Source!BS203&lt;&gt; 0, Source!BS203, 1)</f>
        <v>0</v>
      </c>
      <c r="T103">
        <f>ROUND(S103*I103, 2)</f>
        <v>0</v>
      </c>
      <c r="U103">
        <f>Source!GF203</f>
        <v>858864401</v>
      </c>
      <c r="V103">
        <v>-1801759247</v>
      </c>
      <c r="W103">
        <v>-1801759247</v>
      </c>
      <c r="X103">
        <v>3</v>
      </c>
    </row>
    <row r="104" spans="1:24" x14ac:dyDescent="0.2">
      <c r="A104">
        <v>20</v>
      </c>
      <c r="B104">
        <v>134</v>
      </c>
      <c r="C104">
        <v>3</v>
      </c>
      <c r="D104">
        <v>0</v>
      </c>
      <c r="E104">
        <f>SmtRes!AV134</f>
        <v>0</v>
      </c>
      <c r="F104" t="str">
        <f>SmtRes!I134</f>
        <v>21.1-12-27</v>
      </c>
      <c r="G104" t="str">
        <f>SmtRes!K134</f>
        <v>Щебень из естественного камня для строительных работ, марка 300-200, фракция 40-70 мм</v>
      </c>
      <c r="H104" t="str">
        <f>SmtRes!O134</f>
        <v>м3</v>
      </c>
      <c r="I104">
        <f>SmtRes!Y134*Source!I204</f>
        <v>45.45</v>
      </c>
      <c r="J104">
        <f>SmtRes!AO134</f>
        <v>1</v>
      </c>
      <c r="K104">
        <f>SmtRes!AE134</f>
        <v>1241</v>
      </c>
      <c r="L104">
        <f>SmtRes!DB134</f>
        <v>1241</v>
      </c>
      <c r="M104">
        <f>ROUND(ROUND(L104*Source!I204, 6)*1, 2)</f>
        <v>56403.45</v>
      </c>
      <c r="N104">
        <f>SmtRes!AA134</f>
        <v>1241</v>
      </c>
      <c r="O104">
        <f>ROUND(ROUND(L104*Source!I204, 6)*SmtRes!DA134, 2)</f>
        <v>56403.45</v>
      </c>
      <c r="P104">
        <f>SmtRes!AG134</f>
        <v>0</v>
      </c>
      <c r="Q104">
        <f>SmtRes!DC134</f>
        <v>0</v>
      </c>
      <c r="R104">
        <f>ROUND(ROUND(Q104*Source!I204, 6)*1, 2)</f>
        <v>0</v>
      </c>
      <c r="S104">
        <f>SmtRes!AC134</f>
        <v>0</v>
      </c>
      <c r="T104">
        <f>ROUND(ROUND(Q104*Source!I204, 6)*SmtRes!AK134, 2)</f>
        <v>0</v>
      </c>
      <c r="U104">
        <f>SmtRes!X134</f>
        <v>2054449869</v>
      </c>
      <c r="V104">
        <v>566866900</v>
      </c>
      <c r="W104">
        <v>566866900</v>
      </c>
      <c r="X104">
        <v>3</v>
      </c>
    </row>
    <row r="105" spans="1:24" x14ac:dyDescent="0.2">
      <c r="A105">
        <v>20</v>
      </c>
      <c r="B105">
        <v>133</v>
      </c>
      <c r="C105">
        <v>3</v>
      </c>
      <c r="D105">
        <v>0</v>
      </c>
      <c r="E105">
        <f>SmtRes!AV133</f>
        <v>0</v>
      </c>
      <c r="F105" t="str">
        <f>SmtRes!I133</f>
        <v>21.1-12-25</v>
      </c>
      <c r="G105" t="str">
        <f>SmtRes!K133</f>
        <v>Щебень из естественного камня для строительных работ, марка 300-200, фракция 10-20 мм</v>
      </c>
      <c r="H105" t="str">
        <f>SmtRes!O133</f>
        <v>м3</v>
      </c>
      <c r="I105">
        <f>SmtRes!Y133*Source!I204</f>
        <v>4.0905000000000005</v>
      </c>
      <c r="J105">
        <f>SmtRes!AO133</f>
        <v>1</v>
      </c>
      <c r="K105">
        <f>SmtRes!AE133</f>
        <v>1436.5</v>
      </c>
      <c r="L105">
        <f>SmtRes!DB133</f>
        <v>129.29</v>
      </c>
      <c r="M105">
        <f>ROUND(ROUND(L105*Source!I204, 6)*1, 2)</f>
        <v>5876.23</v>
      </c>
      <c r="N105">
        <f>SmtRes!AA133</f>
        <v>1436.5</v>
      </c>
      <c r="O105">
        <f>ROUND(ROUND(L105*Source!I204, 6)*SmtRes!DA133, 2)</f>
        <v>5876.23</v>
      </c>
      <c r="P105">
        <f>SmtRes!AG133</f>
        <v>0</v>
      </c>
      <c r="Q105">
        <f>SmtRes!DC133</f>
        <v>0</v>
      </c>
      <c r="R105">
        <f>ROUND(ROUND(Q105*Source!I204, 6)*1, 2)</f>
        <v>0</v>
      </c>
      <c r="S105">
        <f>SmtRes!AC133</f>
        <v>0</v>
      </c>
      <c r="T105">
        <f>ROUND(ROUND(Q105*Source!I204, 6)*SmtRes!AK133, 2)</f>
        <v>0</v>
      </c>
      <c r="U105">
        <f>SmtRes!X133</f>
        <v>1126927627</v>
      </c>
      <c r="V105">
        <v>-1287472248</v>
      </c>
      <c r="W105">
        <v>-1287472248</v>
      </c>
      <c r="X105">
        <v>3</v>
      </c>
    </row>
    <row r="106" spans="1:24" x14ac:dyDescent="0.2">
      <c r="A106">
        <v>20</v>
      </c>
      <c r="B106">
        <v>132</v>
      </c>
      <c r="C106">
        <v>3</v>
      </c>
      <c r="D106">
        <v>0</v>
      </c>
      <c r="E106">
        <f>SmtRes!AV132</f>
        <v>0</v>
      </c>
      <c r="F106" t="str">
        <f>SmtRes!I132</f>
        <v>21.1-12-24</v>
      </c>
      <c r="G106" t="str">
        <f>SmtRes!K132</f>
        <v>Щебень из естественного камня для строительных работ, марка 300-200, фракция 5-10 мм</v>
      </c>
      <c r="H106" t="str">
        <f>SmtRes!O132</f>
        <v>м3</v>
      </c>
      <c r="I106">
        <f>SmtRes!Y132*Source!I204</f>
        <v>8.1810000000000009</v>
      </c>
      <c r="J106">
        <f>SmtRes!AO132</f>
        <v>1</v>
      </c>
      <c r="K106">
        <f>SmtRes!AE132</f>
        <v>1436.5</v>
      </c>
      <c r="L106">
        <f>SmtRes!DB132</f>
        <v>258.57</v>
      </c>
      <c r="M106">
        <f>ROUND(ROUND(L106*Source!I204, 6)*1, 2)</f>
        <v>11752.01</v>
      </c>
      <c r="N106">
        <f>SmtRes!AA132</f>
        <v>1436.5</v>
      </c>
      <c r="O106">
        <f>ROUND(ROUND(L106*Source!I204, 6)*SmtRes!DA132, 2)</f>
        <v>11752.01</v>
      </c>
      <c r="P106">
        <f>SmtRes!AG132</f>
        <v>0</v>
      </c>
      <c r="Q106">
        <f>SmtRes!DC132</f>
        <v>0</v>
      </c>
      <c r="R106">
        <f>ROUND(ROUND(Q106*Source!I204, 6)*1, 2)</f>
        <v>0</v>
      </c>
      <c r="S106">
        <f>SmtRes!AC132</f>
        <v>0</v>
      </c>
      <c r="T106">
        <f>ROUND(ROUND(Q106*Source!I204, 6)*SmtRes!AK132, 2)</f>
        <v>0</v>
      </c>
      <c r="U106">
        <f>SmtRes!X132</f>
        <v>-1397951900</v>
      </c>
      <c r="V106">
        <v>466345056</v>
      </c>
      <c r="W106">
        <v>466345056</v>
      </c>
      <c r="X106">
        <v>3</v>
      </c>
    </row>
    <row r="107" spans="1:24" x14ac:dyDescent="0.2">
      <c r="A107">
        <v>20</v>
      </c>
      <c r="B107">
        <v>131</v>
      </c>
      <c r="C107">
        <v>2</v>
      </c>
      <c r="D107">
        <v>0</v>
      </c>
      <c r="E107">
        <f>SmtRes!AV131</f>
        <v>0</v>
      </c>
      <c r="F107" t="str">
        <f>SmtRes!I131</f>
        <v>22.1-30-1</v>
      </c>
      <c r="G107" t="str">
        <f>SmtRes!K131</f>
        <v>Трамбовки пневматические</v>
      </c>
      <c r="H107" t="str">
        <f>SmtRes!O131</f>
        <v>маш.-ч</v>
      </c>
      <c r="I107">
        <f>SmtRes!Y131*Source!I204</f>
        <v>67.720500000000001</v>
      </c>
      <c r="J107">
        <f>SmtRes!AO131</f>
        <v>1</v>
      </c>
      <c r="K107">
        <f>SmtRes!AF131</f>
        <v>3.75</v>
      </c>
      <c r="L107">
        <f>SmtRes!DB131</f>
        <v>5.59</v>
      </c>
      <c r="M107">
        <f>ROUND(ROUND(L107*Source!I204, 6)*1, 2)</f>
        <v>254.07</v>
      </c>
      <c r="N107">
        <f>SmtRes!AB131</f>
        <v>3.75</v>
      </c>
      <c r="O107">
        <f>ROUND(ROUND(L107*Source!I204, 6)*SmtRes!DA131, 2)</f>
        <v>254.07</v>
      </c>
      <c r="P107">
        <f>SmtRes!AG131</f>
        <v>2.56</v>
      </c>
      <c r="Q107">
        <f>SmtRes!DC131</f>
        <v>3.81</v>
      </c>
      <c r="R107">
        <f>ROUND(ROUND(Q107*Source!I204, 6)*1, 2)</f>
        <v>173.16</v>
      </c>
      <c r="S107">
        <f>SmtRes!AC131</f>
        <v>2.56</v>
      </c>
      <c r="T107">
        <f>ROUND(ROUND(Q107*Source!I204, 6)*SmtRes!AK131, 2)</f>
        <v>173.16</v>
      </c>
      <c r="U107">
        <f>SmtRes!X131</f>
        <v>-1383996176</v>
      </c>
      <c r="V107">
        <v>456524966</v>
      </c>
      <c r="W107">
        <v>456524966</v>
      </c>
      <c r="X107">
        <v>2</v>
      </c>
    </row>
    <row r="108" spans="1:24" x14ac:dyDescent="0.2">
      <c r="A108">
        <v>20</v>
      </c>
      <c r="B108">
        <v>130</v>
      </c>
      <c r="C108">
        <v>2</v>
      </c>
      <c r="D108">
        <v>0</v>
      </c>
      <c r="E108">
        <f>SmtRes!AV130</f>
        <v>0</v>
      </c>
      <c r="F108" t="str">
        <f>SmtRes!I130</f>
        <v>22.1-10-5</v>
      </c>
      <c r="G108" t="str">
        <f>SmtRes!K130</f>
        <v>Компрессоры с дизельным двигателем прицепные до 5 м3/мин</v>
      </c>
      <c r="H108" t="str">
        <f>SmtRes!O130</f>
        <v>маш.-ч</v>
      </c>
      <c r="I108">
        <f>SmtRes!Y130*Source!I204</f>
        <v>67.720500000000001</v>
      </c>
      <c r="J108">
        <f>SmtRes!AO130</f>
        <v>1</v>
      </c>
      <c r="K108">
        <f>SmtRes!AF130</f>
        <v>744.2</v>
      </c>
      <c r="L108">
        <f>SmtRes!DB130</f>
        <v>1108.8599999999999</v>
      </c>
      <c r="M108">
        <f>ROUND(ROUND(L108*Source!I204, 6)*1, 2)</f>
        <v>50397.69</v>
      </c>
      <c r="N108">
        <f>SmtRes!AB130</f>
        <v>744.2</v>
      </c>
      <c r="O108">
        <f>ROUND(ROUND(L108*Source!I204, 6)*SmtRes!DA130, 2)</f>
        <v>50397.69</v>
      </c>
      <c r="P108">
        <f>SmtRes!AG130</f>
        <v>423.17</v>
      </c>
      <c r="Q108">
        <f>SmtRes!DC130</f>
        <v>630.52</v>
      </c>
      <c r="R108">
        <f>ROUND(ROUND(Q108*Source!I204, 6)*1, 2)</f>
        <v>28657.13</v>
      </c>
      <c r="S108">
        <f>SmtRes!AC130</f>
        <v>423.17</v>
      </c>
      <c r="T108">
        <f>ROUND(ROUND(Q108*Source!I204, 6)*SmtRes!AK130, 2)</f>
        <v>28657.13</v>
      </c>
      <c r="U108">
        <f>SmtRes!X130</f>
        <v>734322642</v>
      </c>
      <c r="V108">
        <v>158304140</v>
      </c>
      <c r="W108">
        <v>158304140</v>
      </c>
      <c r="X108">
        <v>2</v>
      </c>
    </row>
    <row r="109" spans="1:24" x14ac:dyDescent="0.2">
      <c r="A109">
        <v>20</v>
      </c>
      <c r="B109">
        <v>141</v>
      </c>
      <c r="C109">
        <v>3</v>
      </c>
      <c r="D109">
        <v>0</v>
      </c>
      <c r="E109">
        <f>SmtRes!AV141</f>
        <v>0</v>
      </c>
      <c r="F109" t="str">
        <f>SmtRes!I141</f>
        <v>21.3-3-19</v>
      </c>
      <c r="G109" t="str">
        <f>SmtRes!K141</f>
        <v>Смеси асфальтобетонные дорожные горячие мелкозернистые, марка II, тип В</v>
      </c>
      <c r="H109" t="str">
        <f>SmtRes!O141</f>
        <v>т</v>
      </c>
      <c r="I109">
        <f>SmtRes!Y141*Source!I205</f>
        <v>17.543699999999998</v>
      </c>
      <c r="J109">
        <f>SmtRes!AO141</f>
        <v>1</v>
      </c>
      <c r="K109">
        <f>SmtRes!AE141</f>
        <v>2562.79</v>
      </c>
      <c r="L109">
        <f>SmtRes!DB141</f>
        <v>14838.55</v>
      </c>
      <c r="M109">
        <f>ROUND(ROUND(L109*Source!I205, 6)*1, 2)</f>
        <v>44960.81</v>
      </c>
      <c r="N109">
        <f>SmtRes!AA141</f>
        <v>2562.79</v>
      </c>
      <c r="O109">
        <f>ROUND(ROUND(L109*Source!I205, 6)*SmtRes!DA141, 2)</f>
        <v>44960.81</v>
      </c>
      <c r="P109">
        <f>SmtRes!AG141</f>
        <v>0</v>
      </c>
      <c r="Q109">
        <f>SmtRes!DC141</f>
        <v>0</v>
      </c>
      <c r="R109">
        <f>ROUND(ROUND(Q109*Source!I205, 6)*1, 2)</f>
        <v>0</v>
      </c>
      <c r="S109">
        <f>SmtRes!AC141</f>
        <v>0</v>
      </c>
      <c r="T109">
        <f>ROUND(ROUND(Q109*Source!I205, 6)*SmtRes!AK141, 2)</f>
        <v>0</v>
      </c>
      <c r="U109">
        <f>SmtRes!X141</f>
        <v>1103439754</v>
      </c>
      <c r="V109">
        <v>1846978656</v>
      </c>
      <c r="W109">
        <v>1846978656</v>
      </c>
      <c r="X109">
        <v>3</v>
      </c>
    </row>
    <row r="110" spans="1:24" x14ac:dyDescent="0.2">
      <c r="A110">
        <v>20</v>
      </c>
      <c r="B110">
        <v>140</v>
      </c>
      <c r="C110">
        <v>3</v>
      </c>
      <c r="D110">
        <v>0</v>
      </c>
      <c r="E110">
        <f>SmtRes!AV140</f>
        <v>0</v>
      </c>
      <c r="F110" t="str">
        <f>SmtRes!I140</f>
        <v>21.1-9-13</v>
      </c>
      <c r="G110" t="str">
        <f>SmtRes!K140</f>
        <v>Бруски хвойных пород обрезные, длина 2-6,5 м, сорт III, толщина 50-60 мм</v>
      </c>
      <c r="H110" t="str">
        <f>SmtRes!O140</f>
        <v>м3</v>
      </c>
      <c r="I110">
        <f>SmtRes!Y140*Source!I205</f>
        <v>3.0299999999999997E-2</v>
      </c>
      <c r="J110">
        <f>SmtRes!AO140</f>
        <v>1</v>
      </c>
      <c r="K110">
        <f>SmtRes!AE140</f>
        <v>7064.05</v>
      </c>
      <c r="L110">
        <f>SmtRes!DB140</f>
        <v>70.64</v>
      </c>
      <c r="M110">
        <f>ROUND(ROUND(L110*Source!I205, 6)*1, 2)</f>
        <v>214.04</v>
      </c>
      <c r="N110">
        <f>SmtRes!AA140</f>
        <v>7064.05</v>
      </c>
      <c r="O110">
        <f>ROUND(ROUND(L110*Source!I205, 6)*SmtRes!DA140, 2)</f>
        <v>214.04</v>
      </c>
      <c r="P110">
        <f>SmtRes!AG140</f>
        <v>0</v>
      </c>
      <c r="Q110">
        <f>SmtRes!DC140</f>
        <v>0</v>
      </c>
      <c r="R110">
        <f>ROUND(ROUND(Q110*Source!I205, 6)*1, 2)</f>
        <v>0</v>
      </c>
      <c r="S110">
        <f>SmtRes!AC140</f>
        <v>0</v>
      </c>
      <c r="T110">
        <f>ROUND(ROUND(Q110*Source!I205, 6)*SmtRes!AK140, 2)</f>
        <v>0</v>
      </c>
      <c r="U110">
        <f>SmtRes!X140</f>
        <v>-1674634845</v>
      </c>
      <c r="V110">
        <v>1332636129</v>
      </c>
      <c r="W110">
        <v>1332636129</v>
      </c>
      <c r="X110">
        <v>3</v>
      </c>
    </row>
    <row r="111" spans="1:24" x14ac:dyDescent="0.2">
      <c r="A111">
        <v>20</v>
      </c>
      <c r="B111">
        <v>139</v>
      </c>
      <c r="C111">
        <v>3</v>
      </c>
      <c r="D111">
        <v>0</v>
      </c>
      <c r="E111">
        <f>SmtRes!AV139</f>
        <v>0</v>
      </c>
      <c r="F111" t="str">
        <f>SmtRes!I139</f>
        <v>21.1-1-27</v>
      </c>
      <c r="G111" t="str">
        <f>SmtRes!K139</f>
        <v>Мастика герметизирующая нетвердеющая, строительная, марка "Праймер"</v>
      </c>
      <c r="H111" t="str">
        <f>SmtRes!O139</f>
        <v>т</v>
      </c>
      <c r="I111">
        <f>SmtRes!Y139*Source!I205</f>
        <v>0.20907000000000001</v>
      </c>
      <c r="J111">
        <f>SmtRes!AO139</f>
        <v>1</v>
      </c>
      <c r="K111">
        <f>SmtRes!AE139</f>
        <v>36258.75</v>
      </c>
      <c r="L111">
        <f>SmtRes!DB139</f>
        <v>2501.85</v>
      </c>
      <c r="M111">
        <f>ROUND(ROUND(L111*Source!I205, 6)*1, 2)</f>
        <v>7580.61</v>
      </c>
      <c r="N111">
        <f>SmtRes!AA139</f>
        <v>36258.75</v>
      </c>
      <c r="O111">
        <f>ROUND(ROUND(L111*Source!I205, 6)*SmtRes!DA139, 2)</f>
        <v>7580.61</v>
      </c>
      <c r="P111">
        <f>SmtRes!AG139</f>
        <v>0</v>
      </c>
      <c r="Q111">
        <f>SmtRes!DC139</f>
        <v>0</v>
      </c>
      <c r="R111">
        <f>ROUND(ROUND(Q111*Source!I205, 6)*1, 2)</f>
        <v>0</v>
      </c>
      <c r="S111">
        <f>SmtRes!AC139</f>
        <v>0</v>
      </c>
      <c r="T111">
        <f>ROUND(ROUND(Q111*Source!I205, 6)*SmtRes!AK139, 2)</f>
        <v>0</v>
      </c>
      <c r="U111">
        <f>SmtRes!X139</f>
        <v>1123680579</v>
      </c>
      <c r="V111">
        <v>1595178378</v>
      </c>
      <c r="W111">
        <v>1595178378</v>
      </c>
      <c r="X111">
        <v>3</v>
      </c>
    </row>
    <row r="112" spans="1:24" x14ac:dyDescent="0.2">
      <c r="A112">
        <v>20</v>
      </c>
      <c r="B112">
        <v>138</v>
      </c>
      <c r="C112">
        <v>2</v>
      </c>
      <c r="D112">
        <v>0</v>
      </c>
      <c r="E112">
        <f>SmtRes!AV138</f>
        <v>0</v>
      </c>
      <c r="F112" t="str">
        <f>SmtRes!I138</f>
        <v>22.1-30-1</v>
      </c>
      <c r="G112" t="str">
        <f>SmtRes!K138</f>
        <v>Трамбовки пневматические</v>
      </c>
      <c r="H112" t="str">
        <f>SmtRes!O138</f>
        <v>маш.-ч</v>
      </c>
      <c r="I112">
        <f>SmtRes!Y138*Source!I205</f>
        <v>3.2724000000000002</v>
      </c>
      <c r="J112">
        <f>SmtRes!AO138</f>
        <v>1</v>
      </c>
      <c r="K112">
        <f>SmtRes!AF138</f>
        <v>3.75</v>
      </c>
      <c r="L112">
        <f>SmtRes!DB138</f>
        <v>4.05</v>
      </c>
      <c r="M112">
        <f>ROUND(ROUND(L112*Source!I205, 6)*1, 2)</f>
        <v>12.27</v>
      </c>
      <c r="N112">
        <f>SmtRes!AB138</f>
        <v>3.75</v>
      </c>
      <c r="O112">
        <f>ROUND(ROUND(L112*Source!I205, 6)*SmtRes!DA138, 2)</f>
        <v>12.27</v>
      </c>
      <c r="P112">
        <f>SmtRes!AG138</f>
        <v>2.56</v>
      </c>
      <c r="Q112">
        <f>SmtRes!DC138</f>
        <v>2.76</v>
      </c>
      <c r="R112">
        <f>ROUND(ROUND(Q112*Source!I205, 6)*1, 2)</f>
        <v>8.36</v>
      </c>
      <c r="S112">
        <f>SmtRes!AC138</f>
        <v>2.56</v>
      </c>
      <c r="T112">
        <f>ROUND(ROUND(Q112*Source!I205, 6)*SmtRes!AK138, 2)</f>
        <v>8.36</v>
      </c>
      <c r="U112">
        <f>SmtRes!X138</f>
        <v>-1383996176</v>
      </c>
      <c r="V112">
        <v>456524966</v>
      </c>
      <c r="W112">
        <v>456524966</v>
      </c>
      <c r="X112">
        <v>2</v>
      </c>
    </row>
    <row r="113" spans="1:24" x14ac:dyDescent="0.2">
      <c r="A113">
        <v>20</v>
      </c>
      <c r="B113">
        <v>137</v>
      </c>
      <c r="C113">
        <v>2</v>
      </c>
      <c r="D113">
        <v>0</v>
      </c>
      <c r="E113">
        <f>SmtRes!AV137</f>
        <v>0</v>
      </c>
      <c r="F113" t="str">
        <f>SmtRes!I137</f>
        <v>22.1-14-6</v>
      </c>
      <c r="G113" t="str">
        <f>SmtRes!K137</f>
        <v>Агрегаты для подачи грунтовки</v>
      </c>
      <c r="H113" t="str">
        <f>SmtRes!O137</f>
        <v>маш.-ч</v>
      </c>
      <c r="I113">
        <f>SmtRes!Y137*Source!I205</f>
        <v>2.4542999999999999</v>
      </c>
      <c r="J113">
        <f>SmtRes!AO137</f>
        <v>1</v>
      </c>
      <c r="K113">
        <f>SmtRes!AF137</f>
        <v>1977.07</v>
      </c>
      <c r="L113">
        <f>SmtRes!DB137</f>
        <v>1601.43</v>
      </c>
      <c r="M113">
        <f>ROUND(ROUND(L113*Source!I205, 6)*1, 2)</f>
        <v>4852.33</v>
      </c>
      <c r="N113">
        <f>SmtRes!AB137</f>
        <v>1977.07</v>
      </c>
      <c r="O113">
        <f>ROUND(ROUND(L113*Source!I205, 6)*SmtRes!DA137, 2)</f>
        <v>4852.33</v>
      </c>
      <c r="P113">
        <f>SmtRes!AG137</f>
        <v>1200.6500000000001</v>
      </c>
      <c r="Q113">
        <f>SmtRes!DC137</f>
        <v>972.53</v>
      </c>
      <c r="R113">
        <f>ROUND(ROUND(Q113*Source!I205, 6)*1, 2)</f>
        <v>2946.77</v>
      </c>
      <c r="S113">
        <f>SmtRes!AC137</f>
        <v>1200.6500000000001</v>
      </c>
      <c r="T113">
        <f>ROUND(ROUND(Q113*Source!I205, 6)*SmtRes!AK137, 2)</f>
        <v>2946.77</v>
      </c>
      <c r="U113">
        <f>SmtRes!X137</f>
        <v>831329057</v>
      </c>
      <c r="V113">
        <v>1723114365</v>
      </c>
      <c r="W113">
        <v>1723114365</v>
      </c>
      <c r="X113">
        <v>2</v>
      </c>
    </row>
    <row r="114" spans="1:24" x14ac:dyDescent="0.2">
      <c r="A114">
        <v>20</v>
      </c>
      <c r="B114">
        <v>136</v>
      </c>
      <c r="C114">
        <v>2</v>
      </c>
      <c r="D114">
        <v>0</v>
      </c>
      <c r="E114">
        <f>SmtRes!AV136</f>
        <v>0</v>
      </c>
      <c r="F114" t="str">
        <f>SmtRes!I136</f>
        <v>22.1-10-5</v>
      </c>
      <c r="G114" t="str">
        <f>SmtRes!K136</f>
        <v>Компрессоры с дизельным двигателем прицепные до 5 м3/мин</v>
      </c>
      <c r="H114" t="str">
        <f>SmtRes!O136</f>
        <v>маш.-ч</v>
      </c>
      <c r="I114">
        <f>SmtRes!Y136*Source!I205</f>
        <v>1.6665000000000001</v>
      </c>
      <c r="J114">
        <f>SmtRes!AO136</f>
        <v>1</v>
      </c>
      <c r="K114">
        <f>SmtRes!AF136</f>
        <v>744.2</v>
      </c>
      <c r="L114">
        <f>SmtRes!DB136</f>
        <v>409.31</v>
      </c>
      <c r="M114">
        <f>ROUND(ROUND(L114*Source!I205, 6)*1, 2)</f>
        <v>1240.21</v>
      </c>
      <c r="N114">
        <f>SmtRes!AB136</f>
        <v>744.2</v>
      </c>
      <c r="O114">
        <f>ROUND(ROUND(L114*Source!I205, 6)*SmtRes!DA136, 2)</f>
        <v>1240.21</v>
      </c>
      <c r="P114">
        <f>SmtRes!AG136</f>
        <v>423.17</v>
      </c>
      <c r="Q114">
        <f>SmtRes!DC136</f>
        <v>232.74</v>
      </c>
      <c r="R114">
        <f>ROUND(ROUND(Q114*Source!I205, 6)*1, 2)</f>
        <v>705.2</v>
      </c>
      <c r="S114">
        <f>SmtRes!AC136</f>
        <v>423.17</v>
      </c>
      <c r="T114">
        <f>ROUND(ROUND(Q114*Source!I205, 6)*SmtRes!AK136, 2)</f>
        <v>705.2</v>
      </c>
      <c r="U114">
        <f>SmtRes!X136</f>
        <v>734322642</v>
      </c>
      <c r="V114">
        <v>158304140</v>
      </c>
      <c r="W114">
        <v>158304140</v>
      </c>
      <c r="X114">
        <v>2</v>
      </c>
    </row>
    <row r="115" spans="1:24" x14ac:dyDescent="0.2">
      <c r="A115">
        <v>20</v>
      </c>
      <c r="B115">
        <v>145</v>
      </c>
      <c r="C115">
        <v>3</v>
      </c>
      <c r="D115">
        <v>0</v>
      </c>
      <c r="E115">
        <f>SmtRes!AV145</f>
        <v>0</v>
      </c>
      <c r="F115" t="str">
        <f>SmtRes!I145</f>
        <v>21.3-3-19</v>
      </c>
      <c r="G115" t="str">
        <f>SmtRes!K145</f>
        <v>Смеси асфальтобетонные дорожные горячие мелкозернистые, марка II, тип В</v>
      </c>
      <c r="H115" t="str">
        <f>SmtRes!O145</f>
        <v>т</v>
      </c>
      <c r="I115">
        <f>SmtRes!Y145*Source!I206</f>
        <v>3.5147999999999997</v>
      </c>
      <c r="J115">
        <f>SmtRes!AO145</f>
        <v>1</v>
      </c>
      <c r="K115">
        <f>SmtRes!AE145</f>
        <v>2562.79</v>
      </c>
      <c r="L115">
        <f>SmtRes!DB145</f>
        <v>2972.84</v>
      </c>
      <c r="M115">
        <f>ROUND(ROUND(L115*Source!I206, 6)*1, 2)</f>
        <v>9007.7099999999991</v>
      </c>
      <c r="N115">
        <f>SmtRes!AA145</f>
        <v>2562.79</v>
      </c>
      <c r="O115">
        <f>ROUND(ROUND(L115*Source!I206, 6)*SmtRes!DA145, 2)</f>
        <v>9007.7099999999991</v>
      </c>
      <c r="P115">
        <f>SmtRes!AG145</f>
        <v>0</v>
      </c>
      <c r="Q115">
        <f>SmtRes!DC145</f>
        <v>0</v>
      </c>
      <c r="R115">
        <f>ROUND(ROUND(Q115*Source!I206, 6)*1, 2)</f>
        <v>0</v>
      </c>
      <c r="S115">
        <f>SmtRes!AC145</f>
        <v>0</v>
      </c>
      <c r="T115">
        <f>ROUND(ROUND(Q115*Source!I206, 6)*SmtRes!AK145, 2)</f>
        <v>0</v>
      </c>
      <c r="U115">
        <f>SmtRes!X145</f>
        <v>1103439754</v>
      </c>
      <c r="V115">
        <v>1846978656</v>
      </c>
      <c r="W115">
        <v>1846978656</v>
      </c>
      <c r="X115">
        <v>3</v>
      </c>
    </row>
    <row r="116" spans="1:24" x14ac:dyDescent="0.2">
      <c r="A116">
        <v>20</v>
      </c>
      <c r="B116">
        <v>144</v>
      </c>
      <c r="C116">
        <v>2</v>
      </c>
      <c r="D116">
        <v>0</v>
      </c>
      <c r="E116">
        <f>SmtRes!AV144</f>
        <v>0</v>
      </c>
      <c r="F116" t="str">
        <f>SmtRes!I144</f>
        <v>22.1-30-1</v>
      </c>
      <c r="G116" t="str">
        <f>SmtRes!K144</f>
        <v>Трамбовки пневматические</v>
      </c>
      <c r="H116" t="str">
        <f>SmtRes!O144</f>
        <v>маш.-ч</v>
      </c>
      <c r="I116">
        <f>SmtRes!Y144*Source!I206</f>
        <v>0.84840000000000004</v>
      </c>
      <c r="J116">
        <f>SmtRes!AO144</f>
        <v>1</v>
      </c>
      <c r="K116">
        <f>SmtRes!AF144</f>
        <v>3.75</v>
      </c>
      <c r="L116">
        <f>SmtRes!DB144</f>
        <v>1.05</v>
      </c>
      <c r="M116">
        <f>ROUND(ROUND(L116*Source!I206, 6)*1, 2)</f>
        <v>3.18</v>
      </c>
      <c r="N116">
        <f>SmtRes!AB144</f>
        <v>3.75</v>
      </c>
      <c r="O116">
        <f>ROUND(ROUND(L116*Source!I206, 6)*SmtRes!DA144, 2)</f>
        <v>3.18</v>
      </c>
      <c r="P116">
        <f>SmtRes!AG144</f>
        <v>2.56</v>
      </c>
      <c r="Q116">
        <f>SmtRes!DC144</f>
        <v>0.72</v>
      </c>
      <c r="R116">
        <f>ROUND(ROUND(Q116*Source!I206, 6)*1, 2)</f>
        <v>2.1800000000000002</v>
      </c>
      <c r="S116">
        <f>SmtRes!AC144</f>
        <v>2.56</v>
      </c>
      <c r="T116">
        <f>ROUND(ROUND(Q116*Source!I206, 6)*SmtRes!AK144, 2)</f>
        <v>2.1800000000000002</v>
      </c>
      <c r="U116">
        <f>SmtRes!X144</f>
        <v>-1383996176</v>
      </c>
      <c r="V116">
        <v>456524966</v>
      </c>
      <c r="W116">
        <v>456524966</v>
      </c>
      <c r="X116">
        <v>2</v>
      </c>
    </row>
    <row r="117" spans="1:24" x14ac:dyDescent="0.2">
      <c r="A117">
        <v>20</v>
      </c>
      <c r="B117">
        <v>143</v>
      </c>
      <c r="C117">
        <v>2</v>
      </c>
      <c r="D117">
        <v>0</v>
      </c>
      <c r="E117">
        <f>SmtRes!AV143</f>
        <v>0</v>
      </c>
      <c r="F117" t="str">
        <f>SmtRes!I143</f>
        <v>22.1-10-5</v>
      </c>
      <c r="G117" t="str">
        <f>SmtRes!K143</f>
        <v>Компрессоры с дизельным двигателем прицепные до 5 м3/мин</v>
      </c>
      <c r="H117" t="str">
        <f>SmtRes!O143</f>
        <v>маш.-ч</v>
      </c>
      <c r="I117">
        <f>SmtRes!Y143*Source!I206</f>
        <v>0.42420000000000002</v>
      </c>
      <c r="J117">
        <f>SmtRes!AO143</f>
        <v>1</v>
      </c>
      <c r="K117">
        <f>SmtRes!AF143</f>
        <v>744.2</v>
      </c>
      <c r="L117">
        <f>SmtRes!DB143</f>
        <v>104.19</v>
      </c>
      <c r="M117">
        <f>ROUND(ROUND(L117*Source!I206, 6)*1, 2)</f>
        <v>315.7</v>
      </c>
      <c r="N117">
        <f>SmtRes!AB143</f>
        <v>744.2</v>
      </c>
      <c r="O117">
        <f>ROUND(ROUND(L117*Source!I206, 6)*SmtRes!DA143, 2)</f>
        <v>315.7</v>
      </c>
      <c r="P117">
        <f>SmtRes!AG143</f>
        <v>423.17</v>
      </c>
      <c r="Q117">
        <f>SmtRes!DC143</f>
        <v>59.24</v>
      </c>
      <c r="R117">
        <f>ROUND(ROUND(Q117*Source!I206, 6)*1, 2)</f>
        <v>179.5</v>
      </c>
      <c r="S117">
        <f>SmtRes!AC143</f>
        <v>423.17</v>
      </c>
      <c r="T117">
        <f>ROUND(ROUND(Q117*Source!I206, 6)*SmtRes!AK143, 2)</f>
        <v>179.5</v>
      </c>
      <c r="U117">
        <f>SmtRes!X143</f>
        <v>734322642</v>
      </c>
      <c r="V117">
        <v>158304140</v>
      </c>
      <c r="W117">
        <v>158304140</v>
      </c>
      <c r="X117">
        <v>2</v>
      </c>
    </row>
    <row r="118" spans="1:24" x14ac:dyDescent="0.2">
      <c r="A118">
        <v>20</v>
      </c>
      <c r="B118">
        <v>155</v>
      </c>
      <c r="C118">
        <v>3</v>
      </c>
      <c r="D118">
        <v>0</v>
      </c>
      <c r="E118">
        <f>SmtRes!AV155</f>
        <v>0</v>
      </c>
      <c r="F118" t="str">
        <f>SmtRes!I155</f>
        <v>21.1-6-101</v>
      </c>
      <c r="G118" t="str">
        <f>SmtRes!K155</f>
        <v>Пигменты сухие для красок, кислотный желтый</v>
      </c>
      <c r="H118" t="str">
        <f>SmtRes!O155</f>
        <v>т</v>
      </c>
      <c r="I118">
        <f>SmtRes!Y155*Source!I207</f>
        <v>0.15907499999999999</v>
      </c>
      <c r="J118">
        <f>SmtRes!AO155</f>
        <v>1</v>
      </c>
      <c r="K118">
        <f>SmtRes!AE155</f>
        <v>748299.67</v>
      </c>
      <c r="L118">
        <f>SmtRes!DB155</f>
        <v>39285.730000000003</v>
      </c>
      <c r="M118">
        <f>ROUND(ROUND(L118*Source!I207, 6)*1, 2)</f>
        <v>119035.76</v>
      </c>
      <c r="N118">
        <f>SmtRes!AA155</f>
        <v>748299.67</v>
      </c>
      <c r="O118">
        <f>ROUND(ROUND(L118*Source!I207, 6)*SmtRes!DA155, 2)</f>
        <v>119035.76</v>
      </c>
      <c r="P118">
        <f>SmtRes!AG155</f>
        <v>0</v>
      </c>
      <c r="Q118">
        <f>SmtRes!DC155</f>
        <v>0</v>
      </c>
      <c r="R118">
        <f>ROUND(ROUND(Q118*Source!I207, 6)*1, 2)</f>
        <v>0</v>
      </c>
      <c r="S118">
        <f>SmtRes!AC155</f>
        <v>0</v>
      </c>
      <c r="T118">
        <f>ROUND(ROUND(Q118*Source!I207, 6)*SmtRes!AK155, 2)</f>
        <v>0</v>
      </c>
      <c r="U118">
        <f>SmtRes!X155</f>
        <v>-629368275</v>
      </c>
      <c r="V118">
        <v>-308535249</v>
      </c>
      <c r="W118">
        <v>-308535249</v>
      </c>
      <c r="X118">
        <v>3</v>
      </c>
    </row>
    <row r="119" spans="1:24" x14ac:dyDescent="0.2">
      <c r="A119">
        <v>20</v>
      </c>
      <c r="B119">
        <v>154</v>
      </c>
      <c r="C119">
        <v>3</v>
      </c>
      <c r="D119">
        <v>0</v>
      </c>
      <c r="E119">
        <f>SmtRes!AV154</f>
        <v>0</v>
      </c>
      <c r="F119" t="str">
        <f>SmtRes!I154</f>
        <v>21.1-25-776</v>
      </c>
      <c r="G119" t="str">
        <f>SmtRes!K154</f>
        <v>Средство связующее универсальное полиуретановое на основе резиновой и каучуковой крошки для устройства высокопрочных эластичных покрытий</v>
      </c>
      <c r="H119" t="str">
        <f>SmtRes!O154</f>
        <v>кг</v>
      </c>
      <c r="I119">
        <f>SmtRes!Y154*Source!I207</f>
        <v>731.745</v>
      </c>
      <c r="J119">
        <f>SmtRes!AO154</f>
        <v>1</v>
      </c>
      <c r="K119">
        <f>SmtRes!AE154</f>
        <v>202.34</v>
      </c>
      <c r="L119">
        <f>SmtRes!DB154</f>
        <v>48865.11</v>
      </c>
      <c r="M119">
        <f>ROUND(ROUND(L119*Source!I207, 6)*1, 2)</f>
        <v>148061.28</v>
      </c>
      <c r="N119">
        <f>SmtRes!AA154</f>
        <v>202.34</v>
      </c>
      <c r="O119">
        <f>ROUND(ROUND(L119*Source!I207, 6)*SmtRes!DA154, 2)</f>
        <v>148061.28</v>
      </c>
      <c r="P119">
        <f>SmtRes!AG154</f>
        <v>0</v>
      </c>
      <c r="Q119">
        <f>SmtRes!DC154</f>
        <v>0</v>
      </c>
      <c r="R119">
        <f>ROUND(ROUND(Q119*Source!I207, 6)*1, 2)</f>
        <v>0</v>
      </c>
      <c r="S119">
        <f>SmtRes!AC154</f>
        <v>0</v>
      </c>
      <c r="T119">
        <f>ROUND(ROUND(Q119*Source!I207, 6)*SmtRes!AK154, 2)</f>
        <v>0</v>
      </c>
      <c r="U119">
        <f>SmtRes!X154</f>
        <v>1434584530</v>
      </c>
      <c r="V119">
        <v>2130616076</v>
      </c>
      <c r="W119">
        <v>2130616076</v>
      </c>
      <c r="X119">
        <v>3</v>
      </c>
    </row>
    <row r="120" spans="1:24" x14ac:dyDescent="0.2">
      <c r="A120">
        <v>20</v>
      </c>
      <c r="B120">
        <v>153</v>
      </c>
      <c r="C120">
        <v>3</v>
      </c>
      <c r="D120">
        <v>0</v>
      </c>
      <c r="E120">
        <f>SmtRes!AV153</f>
        <v>0</v>
      </c>
      <c r="F120" t="str">
        <f>SmtRes!I153</f>
        <v>21.1-25-769</v>
      </c>
      <c r="G120" t="str">
        <f>SmtRes!K153</f>
        <v>Крошка резиновая гранулированная, фракция 2-3 мм</v>
      </c>
      <c r="H120" t="str">
        <f>SmtRes!O153</f>
        <v>кг</v>
      </c>
      <c r="I120">
        <f>SmtRes!Y153*Source!I207</f>
        <v>2227.0499999999997</v>
      </c>
      <c r="J120">
        <f>SmtRes!AO153</f>
        <v>1</v>
      </c>
      <c r="K120">
        <f>SmtRes!AE153</f>
        <v>17.77</v>
      </c>
      <c r="L120">
        <f>SmtRes!DB153</f>
        <v>13060.95</v>
      </c>
      <c r="M120">
        <f>ROUND(ROUND(L120*Source!I207, 6)*1, 2)</f>
        <v>39574.68</v>
      </c>
      <c r="N120">
        <f>SmtRes!AA153</f>
        <v>17.77</v>
      </c>
      <c r="O120">
        <f>ROUND(ROUND(L120*Source!I207, 6)*SmtRes!DA153, 2)</f>
        <v>39574.68</v>
      </c>
      <c r="P120">
        <f>SmtRes!AG153</f>
        <v>0</v>
      </c>
      <c r="Q120">
        <f>SmtRes!DC153</f>
        <v>0</v>
      </c>
      <c r="R120">
        <f>ROUND(ROUND(Q120*Source!I207, 6)*1, 2)</f>
        <v>0</v>
      </c>
      <c r="S120">
        <f>SmtRes!AC153</f>
        <v>0</v>
      </c>
      <c r="T120">
        <f>ROUND(ROUND(Q120*Source!I207, 6)*SmtRes!AK153, 2)</f>
        <v>0</v>
      </c>
      <c r="U120">
        <f>SmtRes!X153</f>
        <v>-78256104</v>
      </c>
      <c r="V120">
        <v>-735317913</v>
      </c>
      <c r="W120">
        <v>-735317913</v>
      </c>
      <c r="X120">
        <v>3</v>
      </c>
    </row>
    <row r="121" spans="1:24" x14ac:dyDescent="0.2">
      <c r="A121">
        <v>20</v>
      </c>
      <c r="B121">
        <v>152</v>
      </c>
      <c r="C121">
        <v>3</v>
      </c>
      <c r="D121">
        <v>0</v>
      </c>
      <c r="E121">
        <f>SmtRes!AV152</f>
        <v>0</v>
      </c>
      <c r="F121" t="str">
        <f>SmtRes!I152</f>
        <v>21.1-25-343</v>
      </c>
      <c r="G121" t="str">
        <f>SmtRes!K152</f>
        <v>Скипидар живичный</v>
      </c>
      <c r="H121" t="str">
        <f>SmtRes!O152</f>
        <v>т</v>
      </c>
      <c r="I121">
        <f>SmtRes!Y152*Source!I207</f>
        <v>9.5444999999999992E-3</v>
      </c>
      <c r="J121">
        <f>SmtRes!AO152</f>
        <v>1</v>
      </c>
      <c r="K121">
        <f>SmtRes!AE152</f>
        <v>343020.03</v>
      </c>
      <c r="L121">
        <f>SmtRes!DB152</f>
        <v>1080.51</v>
      </c>
      <c r="M121">
        <f>ROUND(ROUND(L121*Source!I207, 6)*1, 2)</f>
        <v>3273.95</v>
      </c>
      <c r="N121">
        <f>SmtRes!AA152</f>
        <v>343020.03</v>
      </c>
      <c r="O121">
        <f>ROUND(ROUND(L121*Source!I207, 6)*SmtRes!DA152, 2)</f>
        <v>3273.95</v>
      </c>
      <c r="P121">
        <f>SmtRes!AG152</f>
        <v>0</v>
      </c>
      <c r="Q121">
        <f>SmtRes!DC152</f>
        <v>0</v>
      </c>
      <c r="R121">
        <f>ROUND(ROUND(Q121*Source!I207, 6)*1, 2)</f>
        <v>0</v>
      </c>
      <c r="S121">
        <f>SmtRes!AC152</f>
        <v>0</v>
      </c>
      <c r="T121">
        <f>ROUND(ROUND(Q121*Source!I207, 6)*SmtRes!AK152, 2)</f>
        <v>0</v>
      </c>
      <c r="U121">
        <f>SmtRes!X152</f>
        <v>2135985724</v>
      </c>
      <c r="V121">
        <v>-588394673</v>
      </c>
      <c r="W121">
        <v>-588394673</v>
      </c>
      <c r="X121">
        <v>3</v>
      </c>
    </row>
    <row r="122" spans="1:24" x14ac:dyDescent="0.2">
      <c r="A122">
        <v>20</v>
      </c>
      <c r="B122">
        <v>151</v>
      </c>
      <c r="C122">
        <v>3</v>
      </c>
      <c r="D122">
        <v>0</v>
      </c>
      <c r="E122">
        <f>SmtRes!AV151</f>
        <v>0</v>
      </c>
      <c r="F122" t="str">
        <f>SmtRes!I151</f>
        <v>21.1-25-255</v>
      </c>
      <c r="G122" t="str">
        <f>SmtRes!K151</f>
        <v>Пленка полиэтиленовая, толщина 0,12 - 0,15 мм</v>
      </c>
      <c r="H122" t="str">
        <f>SmtRes!O151</f>
        <v>м2</v>
      </c>
      <c r="I122">
        <f>SmtRes!Y151*Source!I207</f>
        <v>16.967999999999996</v>
      </c>
      <c r="J122">
        <f>SmtRes!AO151</f>
        <v>1</v>
      </c>
      <c r="K122">
        <f>SmtRes!AE151</f>
        <v>12.02</v>
      </c>
      <c r="L122">
        <f>SmtRes!DB151</f>
        <v>67.31</v>
      </c>
      <c r="M122">
        <f>ROUND(ROUND(L122*Source!I207, 6)*1, 2)</f>
        <v>203.95</v>
      </c>
      <c r="N122">
        <f>SmtRes!AA151</f>
        <v>12.02</v>
      </c>
      <c r="O122">
        <f>ROUND(ROUND(L122*Source!I207, 6)*SmtRes!DA151, 2)</f>
        <v>203.95</v>
      </c>
      <c r="P122">
        <f>SmtRes!AG151</f>
        <v>0</v>
      </c>
      <c r="Q122">
        <f>SmtRes!DC151</f>
        <v>0</v>
      </c>
      <c r="R122">
        <f>ROUND(ROUND(Q122*Source!I207, 6)*1, 2)</f>
        <v>0</v>
      </c>
      <c r="S122">
        <f>SmtRes!AC151</f>
        <v>0</v>
      </c>
      <c r="T122">
        <f>ROUND(ROUND(Q122*Source!I207, 6)*SmtRes!AK151, 2)</f>
        <v>0</v>
      </c>
      <c r="U122">
        <f>SmtRes!X151</f>
        <v>-656702110</v>
      </c>
      <c r="V122">
        <v>657210226</v>
      </c>
      <c r="W122">
        <v>657210226</v>
      </c>
      <c r="X122">
        <v>3</v>
      </c>
    </row>
    <row r="123" spans="1:24" x14ac:dyDescent="0.2">
      <c r="A123">
        <v>20</v>
      </c>
      <c r="B123">
        <v>150</v>
      </c>
      <c r="C123">
        <v>2</v>
      </c>
      <c r="D123">
        <v>0</v>
      </c>
      <c r="E123">
        <f>SmtRes!AV150</f>
        <v>0</v>
      </c>
      <c r="F123" t="str">
        <f>SmtRes!I150</f>
        <v>22.1-6-68</v>
      </c>
      <c r="G123" t="str">
        <f>SmtRes!K150</f>
        <v>Растворосмесители стационарные, емкость до 250 л</v>
      </c>
      <c r="H123" t="str">
        <f>SmtRes!O150</f>
        <v>маш.-ч</v>
      </c>
      <c r="I123">
        <f>SmtRes!Y150*Source!I207</f>
        <v>7.9992000000000001</v>
      </c>
      <c r="J123">
        <f>SmtRes!AO150</f>
        <v>1</v>
      </c>
      <c r="K123">
        <f>SmtRes!AF150</f>
        <v>454.31</v>
      </c>
      <c r="L123">
        <f>SmtRes!DB150</f>
        <v>1199.3800000000001</v>
      </c>
      <c r="M123">
        <f>ROUND(ROUND(L123*Source!I207, 6)*1, 2)</f>
        <v>3634.12</v>
      </c>
      <c r="N123">
        <f>SmtRes!AB150</f>
        <v>454.31</v>
      </c>
      <c r="O123">
        <f>ROUND(ROUND(L123*Source!I207, 6)*SmtRes!DA150, 2)</f>
        <v>3634.12</v>
      </c>
      <c r="P123">
        <f>SmtRes!AG150</f>
        <v>405.68</v>
      </c>
      <c r="Q123">
        <f>SmtRes!DC150</f>
        <v>1071</v>
      </c>
      <c r="R123">
        <f>ROUND(ROUND(Q123*Source!I207, 6)*1, 2)</f>
        <v>3245.13</v>
      </c>
      <c r="S123">
        <f>SmtRes!AC150</f>
        <v>405.68</v>
      </c>
      <c r="T123">
        <f>ROUND(ROUND(Q123*Source!I207, 6)*SmtRes!AK150, 2)</f>
        <v>3245.13</v>
      </c>
      <c r="U123">
        <f>SmtRes!X150</f>
        <v>1948933241</v>
      </c>
      <c r="V123">
        <v>4389697</v>
      </c>
      <c r="W123">
        <v>4389697</v>
      </c>
      <c r="X123">
        <v>2</v>
      </c>
    </row>
    <row r="124" spans="1:24" x14ac:dyDescent="0.2">
      <c r="A124">
        <v>20</v>
      </c>
      <c r="B124">
        <v>149</v>
      </c>
      <c r="C124">
        <v>2</v>
      </c>
      <c r="D124">
        <v>0</v>
      </c>
      <c r="E124">
        <f>SmtRes!AV149</f>
        <v>0</v>
      </c>
      <c r="F124" t="str">
        <f>SmtRes!I149</f>
        <v>22.1-4-8</v>
      </c>
      <c r="G124" t="str">
        <f>SmtRes!K149</f>
        <v>Погрузчики на автомобильном ходу, грузоподъемность до 1 т</v>
      </c>
      <c r="H124" t="str">
        <f>SmtRes!O149</f>
        <v>маш.-ч</v>
      </c>
      <c r="I124">
        <f>SmtRes!Y149*Source!I207</f>
        <v>3.0299999999999997E-2</v>
      </c>
      <c r="J124">
        <f>SmtRes!AO149</f>
        <v>1</v>
      </c>
      <c r="K124">
        <f>SmtRes!AF149</f>
        <v>616.73</v>
      </c>
      <c r="L124">
        <f>SmtRes!DB149</f>
        <v>6.17</v>
      </c>
      <c r="M124">
        <f>ROUND(ROUND(L124*Source!I207, 6)*1, 2)</f>
        <v>18.7</v>
      </c>
      <c r="N124">
        <f>SmtRes!AB149</f>
        <v>616.73</v>
      </c>
      <c r="O124">
        <f>ROUND(ROUND(L124*Source!I207, 6)*SmtRes!DA149, 2)</f>
        <v>18.7</v>
      </c>
      <c r="P124">
        <f>SmtRes!AG149</f>
        <v>511.29</v>
      </c>
      <c r="Q124">
        <f>SmtRes!DC149</f>
        <v>5.1100000000000003</v>
      </c>
      <c r="R124">
        <f>ROUND(ROUND(Q124*Source!I207, 6)*1, 2)</f>
        <v>15.48</v>
      </c>
      <c r="S124">
        <f>SmtRes!AC149</f>
        <v>511.29</v>
      </c>
      <c r="T124">
        <f>ROUND(ROUND(Q124*Source!I207, 6)*SmtRes!AK149, 2)</f>
        <v>15.48</v>
      </c>
      <c r="U124">
        <f>SmtRes!X149</f>
        <v>-929482187</v>
      </c>
      <c r="V124">
        <v>-878210744</v>
      </c>
      <c r="W124">
        <v>-878210744</v>
      </c>
      <c r="X124">
        <v>2</v>
      </c>
    </row>
    <row r="125" spans="1:24" x14ac:dyDescent="0.2">
      <c r="A125">
        <v>20</v>
      </c>
      <c r="B125">
        <v>148</v>
      </c>
      <c r="C125">
        <v>2</v>
      </c>
      <c r="D125">
        <v>0</v>
      </c>
      <c r="E125">
        <f>SmtRes!AV148</f>
        <v>0</v>
      </c>
      <c r="F125" t="str">
        <f>SmtRes!I148</f>
        <v>22.1-30-102</v>
      </c>
      <c r="G125" t="str">
        <f>SmtRes!K148</f>
        <v>Дрели электрические, двухскоростные, мощностью 600 Вт</v>
      </c>
      <c r="H125" t="str">
        <f>SmtRes!O148</f>
        <v>маш.-ч</v>
      </c>
      <c r="I125">
        <f>SmtRes!Y148*Source!I207</f>
        <v>3.5753999999999997</v>
      </c>
      <c r="J125">
        <f>SmtRes!AO148</f>
        <v>1</v>
      </c>
      <c r="K125">
        <f>SmtRes!AF148</f>
        <v>7.44</v>
      </c>
      <c r="L125">
        <f>SmtRes!DB148</f>
        <v>8.7799999999999994</v>
      </c>
      <c r="M125">
        <f>ROUND(ROUND(L125*Source!I207, 6)*1, 2)</f>
        <v>26.6</v>
      </c>
      <c r="N125">
        <f>SmtRes!AB148</f>
        <v>7.44</v>
      </c>
      <c r="O125">
        <f>ROUND(ROUND(L125*Source!I207, 6)*SmtRes!DA148, 2)</f>
        <v>26.6</v>
      </c>
      <c r="P125">
        <f>SmtRes!AG148</f>
        <v>0.98</v>
      </c>
      <c r="Q125">
        <f>SmtRes!DC148</f>
        <v>1.1599999999999999</v>
      </c>
      <c r="R125">
        <f>ROUND(ROUND(Q125*Source!I207, 6)*1, 2)</f>
        <v>3.51</v>
      </c>
      <c r="S125">
        <f>SmtRes!AC148</f>
        <v>0.98</v>
      </c>
      <c r="T125">
        <f>ROUND(ROUND(Q125*Source!I207, 6)*SmtRes!AK148, 2)</f>
        <v>3.51</v>
      </c>
      <c r="U125">
        <f>SmtRes!X148</f>
        <v>-1222982568</v>
      </c>
      <c r="V125">
        <v>-2110789947</v>
      </c>
      <c r="W125">
        <v>-2110789947</v>
      </c>
      <c r="X125">
        <v>2</v>
      </c>
    </row>
    <row r="126" spans="1:24" x14ac:dyDescent="0.2">
      <c r="A126">
        <v>20</v>
      </c>
      <c r="B126">
        <v>147</v>
      </c>
      <c r="C126">
        <v>2</v>
      </c>
      <c r="D126">
        <v>0</v>
      </c>
      <c r="E126">
        <f>SmtRes!AV147</f>
        <v>0</v>
      </c>
      <c r="F126" t="str">
        <f>SmtRes!I147</f>
        <v>22.1-17-168</v>
      </c>
      <c r="G126" t="str">
        <f>SmtRes!K147</f>
        <v>Укладчики полимерных покрытий на игровых и спортивных площадках, производительность 10-50 м2/ч</v>
      </c>
      <c r="H126" t="str">
        <f>SmtRes!O147</f>
        <v>маш.-ч</v>
      </c>
      <c r="I126">
        <f>SmtRes!Y147*Source!I207</f>
        <v>7.9992000000000001</v>
      </c>
      <c r="J126">
        <f>SmtRes!AO147</f>
        <v>1</v>
      </c>
      <c r="K126">
        <f>SmtRes!AF147</f>
        <v>531.41</v>
      </c>
      <c r="L126">
        <f>SmtRes!DB147</f>
        <v>1402.92</v>
      </c>
      <c r="M126">
        <f>ROUND(ROUND(L126*Source!I207, 6)*1, 2)</f>
        <v>4250.8500000000004</v>
      </c>
      <c r="N126">
        <f>SmtRes!AB147</f>
        <v>531.41</v>
      </c>
      <c r="O126">
        <f>ROUND(ROUND(L126*Source!I207, 6)*SmtRes!DA147, 2)</f>
        <v>4250.8500000000004</v>
      </c>
      <c r="P126">
        <f>SmtRes!AG147</f>
        <v>373.56</v>
      </c>
      <c r="Q126">
        <f>SmtRes!DC147</f>
        <v>986.2</v>
      </c>
      <c r="R126">
        <f>ROUND(ROUND(Q126*Source!I207, 6)*1, 2)</f>
        <v>2988.19</v>
      </c>
      <c r="S126">
        <f>SmtRes!AC147</f>
        <v>373.56</v>
      </c>
      <c r="T126">
        <f>ROUND(ROUND(Q126*Source!I207, 6)*SmtRes!AK147, 2)</f>
        <v>2988.19</v>
      </c>
      <c r="U126">
        <f>SmtRes!X147</f>
        <v>2028281919</v>
      </c>
      <c r="V126">
        <v>-1587432455</v>
      </c>
      <c r="W126">
        <v>-1587432455</v>
      </c>
      <c r="X126">
        <v>2</v>
      </c>
    </row>
    <row r="127" spans="1:24" x14ac:dyDescent="0.2">
      <c r="A127">
        <v>20</v>
      </c>
      <c r="B127">
        <v>160</v>
      </c>
      <c r="C127">
        <v>3</v>
      </c>
      <c r="D127">
        <v>0</v>
      </c>
      <c r="E127">
        <f>SmtRes!AV160</f>
        <v>0</v>
      </c>
      <c r="F127" t="str">
        <f>SmtRes!I160</f>
        <v>21.6-1-52</v>
      </c>
      <c r="G127" t="str">
        <f>SmtRes!K160</f>
        <v>Отдельные конструктивные элементы с преобладанием горячекатаных профилей, средняя масса сборочной единицы от 0,51 до 1,0 т</v>
      </c>
      <c r="H127" t="str">
        <f>SmtRes!O160</f>
        <v>т</v>
      </c>
      <c r="I127">
        <f>SmtRes!Y160*Source!I208</f>
        <v>2.6</v>
      </c>
      <c r="J127">
        <f>SmtRes!AO160</f>
        <v>1</v>
      </c>
      <c r="K127">
        <f>SmtRes!AE160</f>
        <v>75026.559999999998</v>
      </c>
      <c r="L127">
        <f>SmtRes!DB160</f>
        <v>75026.559999999998</v>
      </c>
      <c r="M127">
        <f>ROUND(ROUND(L127*Source!I208, 6)*1, 2)</f>
        <v>195069.06</v>
      </c>
      <c r="N127">
        <f>SmtRes!AA160</f>
        <v>75026.559999999998</v>
      </c>
      <c r="O127">
        <f>ROUND(ROUND(L127*Source!I208, 6)*SmtRes!DA160, 2)</f>
        <v>195069.06</v>
      </c>
      <c r="P127">
        <f>SmtRes!AG160</f>
        <v>0</v>
      </c>
      <c r="Q127">
        <f>SmtRes!DC160</f>
        <v>0</v>
      </c>
      <c r="R127">
        <f>ROUND(ROUND(Q127*Source!I208, 6)*1, 2)</f>
        <v>0</v>
      </c>
      <c r="S127">
        <f>SmtRes!AC160</f>
        <v>0</v>
      </c>
      <c r="T127">
        <f>ROUND(ROUND(Q127*Source!I208, 6)*SmtRes!AK160, 2)</f>
        <v>0</v>
      </c>
      <c r="U127">
        <f>SmtRes!X160</f>
        <v>485376408</v>
      </c>
      <c r="V127">
        <v>-1688827510</v>
      </c>
      <c r="W127">
        <v>-1688827510</v>
      </c>
      <c r="X127">
        <v>3</v>
      </c>
    </row>
    <row r="128" spans="1:24" x14ac:dyDescent="0.2">
      <c r="A128">
        <v>20</v>
      </c>
      <c r="B128">
        <v>159</v>
      </c>
      <c r="C128">
        <v>3</v>
      </c>
      <c r="D128">
        <v>0</v>
      </c>
      <c r="E128">
        <f>SmtRes!AV159</f>
        <v>0</v>
      </c>
      <c r="F128" t="str">
        <f>SmtRes!I159</f>
        <v>21.1-23-9</v>
      </c>
      <c r="G128" t="str">
        <f>SmtRes!K159</f>
        <v>Электроды, тип Э-42, 46, 50, диаметр 4 - 6 мм</v>
      </c>
      <c r="H128" t="str">
        <f>SmtRes!O159</f>
        <v>т</v>
      </c>
      <c r="I128">
        <f>SmtRes!Y159*Source!I208</f>
        <v>3.64E-3</v>
      </c>
      <c r="J128">
        <f>SmtRes!AO159</f>
        <v>1</v>
      </c>
      <c r="K128">
        <f>SmtRes!AE159</f>
        <v>110781.14</v>
      </c>
      <c r="L128">
        <f>SmtRes!DB159</f>
        <v>155.09</v>
      </c>
      <c r="M128">
        <f>ROUND(ROUND(L128*Source!I208, 6)*1, 2)</f>
        <v>403.23</v>
      </c>
      <c r="N128">
        <f>SmtRes!AA159</f>
        <v>110781.14</v>
      </c>
      <c r="O128">
        <f>ROUND(ROUND(L128*Source!I208, 6)*SmtRes!DA159, 2)</f>
        <v>403.23</v>
      </c>
      <c r="P128">
        <f>SmtRes!AG159</f>
        <v>0</v>
      </c>
      <c r="Q128">
        <f>SmtRes!DC159</f>
        <v>0</v>
      </c>
      <c r="R128">
        <f>ROUND(ROUND(Q128*Source!I208, 6)*1, 2)</f>
        <v>0</v>
      </c>
      <c r="S128">
        <f>SmtRes!AC159</f>
        <v>0</v>
      </c>
      <c r="T128">
        <f>ROUND(ROUND(Q128*Source!I208, 6)*SmtRes!AK159, 2)</f>
        <v>0</v>
      </c>
      <c r="U128">
        <f>SmtRes!X159</f>
        <v>-941081254</v>
      </c>
      <c r="V128">
        <v>1991017595</v>
      </c>
      <c r="W128">
        <v>1991017595</v>
      </c>
      <c r="X128">
        <v>3</v>
      </c>
    </row>
    <row r="129" spans="1:24" x14ac:dyDescent="0.2">
      <c r="A129">
        <v>20</v>
      </c>
      <c r="B129">
        <v>158</v>
      </c>
      <c r="C129">
        <v>3</v>
      </c>
      <c r="D129">
        <v>0</v>
      </c>
      <c r="E129">
        <f>SmtRes!AV158</f>
        <v>0</v>
      </c>
      <c r="F129" t="str">
        <f>SmtRes!I158</f>
        <v>21.1-11-21</v>
      </c>
      <c r="G129" t="str">
        <f>SmtRes!K158</f>
        <v>Болты строительные черные с гайками и шайбами (10х100мм)</v>
      </c>
      <c r="H129" t="str">
        <f>SmtRes!O158</f>
        <v>т</v>
      </c>
      <c r="I129">
        <f>SmtRes!Y158*Source!I208</f>
        <v>8.5800000000000008E-3</v>
      </c>
      <c r="J129">
        <f>SmtRes!AO158</f>
        <v>1</v>
      </c>
      <c r="K129">
        <f>SmtRes!AE158</f>
        <v>105084.63</v>
      </c>
      <c r="L129">
        <f>SmtRes!DB158</f>
        <v>346.78</v>
      </c>
      <c r="M129">
        <f>ROUND(ROUND(L129*Source!I208, 6)*1, 2)</f>
        <v>901.63</v>
      </c>
      <c r="N129">
        <f>SmtRes!AA158</f>
        <v>105084.63</v>
      </c>
      <c r="O129">
        <f>ROUND(ROUND(L129*Source!I208, 6)*SmtRes!DA158, 2)</f>
        <v>901.63</v>
      </c>
      <c r="P129">
        <f>SmtRes!AG158</f>
        <v>0</v>
      </c>
      <c r="Q129">
        <f>SmtRes!DC158</f>
        <v>0</v>
      </c>
      <c r="R129">
        <f>ROUND(ROUND(Q129*Source!I208, 6)*1, 2)</f>
        <v>0</v>
      </c>
      <c r="S129">
        <f>SmtRes!AC158</f>
        <v>0</v>
      </c>
      <c r="T129">
        <f>ROUND(ROUND(Q129*Source!I208, 6)*SmtRes!AK158, 2)</f>
        <v>0</v>
      </c>
      <c r="U129">
        <f>SmtRes!X158</f>
        <v>-1356276541</v>
      </c>
      <c r="V129">
        <v>442495294</v>
      </c>
      <c r="W129">
        <v>442495294</v>
      </c>
      <c r="X129">
        <v>3</v>
      </c>
    </row>
    <row r="130" spans="1:24" x14ac:dyDescent="0.2">
      <c r="A130">
        <v>20</v>
      </c>
      <c r="B130">
        <v>157</v>
      </c>
      <c r="C130">
        <v>2</v>
      </c>
      <c r="D130">
        <v>0</v>
      </c>
      <c r="E130">
        <f>SmtRes!AV157</f>
        <v>0</v>
      </c>
      <c r="F130" t="str">
        <f>SmtRes!I157</f>
        <v>22.1-4-31</v>
      </c>
      <c r="G130" t="str">
        <f>SmtRes!K157</f>
        <v>Лебедки электрические, грузоподъемность до 1,5 т</v>
      </c>
      <c r="H130" t="str">
        <f>SmtRes!O157</f>
        <v>маш.-ч</v>
      </c>
      <c r="I130">
        <f>SmtRes!Y157*Source!I208</f>
        <v>49.4</v>
      </c>
      <c r="J130">
        <f>SmtRes!AO157</f>
        <v>1</v>
      </c>
      <c r="K130">
        <f>SmtRes!AF157</f>
        <v>31</v>
      </c>
      <c r="L130">
        <f>SmtRes!DB157</f>
        <v>589</v>
      </c>
      <c r="M130">
        <f>ROUND(ROUND(L130*Source!I208, 6)*1, 2)</f>
        <v>1531.4</v>
      </c>
      <c r="N130">
        <f>SmtRes!AB157</f>
        <v>31</v>
      </c>
      <c r="O130">
        <f>ROUND(ROUND(L130*Source!I208, 6)*SmtRes!DA157, 2)</f>
        <v>1531.4</v>
      </c>
      <c r="P130">
        <f>SmtRes!AG157</f>
        <v>1.35</v>
      </c>
      <c r="Q130">
        <f>SmtRes!DC157</f>
        <v>25.65</v>
      </c>
      <c r="R130">
        <f>ROUND(ROUND(Q130*Source!I208, 6)*1, 2)</f>
        <v>66.69</v>
      </c>
      <c r="S130">
        <f>SmtRes!AC157</f>
        <v>1.35</v>
      </c>
      <c r="T130">
        <f>ROUND(ROUND(Q130*Source!I208, 6)*SmtRes!AK157, 2)</f>
        <v>66.69</v>
      </c>
      <c r="U130">
        <f>SmtRes!X157</f>
        <v>-204835879</v>
      </c>
      <c r="V130">
        <v>1844315211</v>
      </c>
      <c r="W130">
        <v>1844315211</v>
      </c>
      <c r="X130">
        <v>2</v>
      </c>
    </row>
    <row r="131" spans="1:24" x14ac:dyDescent="0.2">
      <c r="A131">
        <f>Source!A209</f>
        <v>18</v>
      </c>
      <c r="B131">
        <v>209</v>
      </c>
      <c r="C131">
        <v>3</v>
      </c>
      <c r="D131">
        <f>Source!BI209</f>
        <v>4</v>
      </c>
      <c r="E131">
        <f>Source!FS209</f>
        <v>0</v>
      </c>
      <c r="F131" t="str">
        <f>Source!F209</f>
        <v>Цена поставщика</v>
      </c>
      <c r="G131" t="str">
        <f>Source!G209</f>
        <v>1500-3 Песочница 1,5х1,5х0,65 м</v>
      </c>
      <c r="H131" t="str">
        <f>Source!H209</f>
        <v>шт.</v>
      </c>
      <c r="I131">
        <f>Source!I209</f>
        <v>4</v>
      </c>
      <c r="J131">
        <v>1</v>
      </c>
      <c r="K131">
        <f>Source!AC209</f>
        <v>12083.33</v>
      </c>
      <c r="M131">
        <f t="shared" ref="M131:M150" si="0">ROUND(K131*I131, 2)</f>
        <v>48333.32</v>
      </c>
      <c r="N131">
        <f>Source!AC209*IF(Source!BC209&lt;&gt; 0, Source!BC209, 1)</f>
        <v>12083.33</v>
      </c>
      <c r="O131">
        <f t="shared" ref="O131:O150" si="1">ROUND(N131*I131, 2)</f>
        <v>48333.32</v>
      </c>
      <c r="P131">
        <f>Source!AE209</f>
        <v>0</v>
      </c>
      <c r="R131">
        <f t="shared" ref="R131:R150" si="2">ROUND(P131*I131, 2)</f>
        <v>0</v>
      </c>
      <c r="S131">
        <f>Source!AE209*IF(Source!BS209&lt;&gt; 0, Source!BS209, 1)</f>
        <v>0</v>
      </c>
      <c r="T131">
        <f t="shared" ref="T131:T150" si="3">ROUND(S131*I131, 2)</f>
        <v>0</v>
      </c>
      <c r="U131">
        <f>Source!GF209</f>
        <v>362208123</v>
      </c>
      <c r="V131">
        <v>-1429118473</v>
      </c>
      <c r="W131">
        <v>-1429118473</v>
      </c>
      <c r="X131">
        <v>3</v>
      </c>
    </row>
    <row r="132" spans="1:24" x14ac:dyDescent="0.2">
      <c r="A132">
        <f>Source!A210</f>
        <v>18</v>
      </c>
      <c r="B132">
        <v>210</v>
      </c>
      <c r="C132">
        <v>3</v>
      </c>
      <c r="D132">
        <f>Source!BI210</f>
        <v>4</v>
      </c>
      <c r="E132">
        <f>Source!FS210</f>
        <v>0</v>
      </c>
      <c r="F132" t="str">
        <f>Source!F210</f>
        <v>Цена поставщика</v>
      </c>
      <c r="G132" t="str">
        <f>Source!G210</f>
        <v>4404 Паровозик Тип 4</v>
      </c>
      <c r="H132" t="str">
        <f>Source!H210</f>
        <v>шт.</v>
      </c>
      <c r="I132">
        <f>Source!I210</f>
        <v>1</v>
      </c>
      <c r="J132">
        <v>1</v>
      </c>
      <c r="K132">
        <f>Source!AC210</f>
        <v>97708.33</v>
      </c>
      <c r="M132">
        <f t="shared" si="0"/>
        <v>97708.33</v>
      </c>
      <c r="N132">
        <f>Source!AC210*IF(Source!BC210&lt;&gt; 0, Source!BC210, 1)</f>
        <v>97708.33</v>
      </c>
      <c r="O132">
        <f t="shared" si="1"/>
        <v>97708.33</v>
      </c>
      <c r="P132">
        <f>Source!AE210</f>
        <v>0</v>
      </c>
      <c r="R132">
        <f t="shared" si="2"/>
        <v>0</v>
      </c>
      <c r="S132">
        <f>Source!AE210*IF(Source!BS210&lt;&gt; 0, Source!BS210, 1)</f>
        <v>0</v>
      </c>
      <c r="T132">
        <f t="shared" si="3"/>
        <v>0</v>
      </c>
      <c r="U132">
        <f>Source!GF210</f>
        <v>1107057996</v>
      </c>
      <c r="V132">
        <v>1274486699</v>
      </c>
      <c r="W132">
        <v>1274486699</v>
      </c>
      <c r="X132">
        <v>3</v>
      </c>
    </row>
    <row r="133" spans="1:24" x14ac:dyDescent="0.2">
      <c r="A133">
        <f>Source!A211</f>
        <v>18</v>
      </c>
      <c r="B133">
        <v>211</v>
      </c>
      <c r="C133">
        <v>3</v>
      </c>
      <c r="D133">
        <f>Source!BI211</f>
        <v>4</v>
      </c>
      <c r="E133">
        <f>Source!FS211</f>
        <v>0</v>
      </c>
      <c r="F133" t="str">
        <f>Source!F211</f>
        <v>Цена поставщика</v>
      </c>
      <c r="G133" t="str">
        <f>Source!G211</f>
        <v>4702 Игровая панель Часы 0,9х1,0 м</v>
      </c>
      <c r="H133" t="str">
        <f>Source!H211</f>
        <v>шт.</v>
      </c>
      <c r="I133">
        <f>Source!I211</f>
        <v>1</v>
      </c>
      <c r="J133">
        <v>1</v>
      </c>
      <c r="K133">
        <f>Source!AC211</f>
        <v>7083.33</v>
      </c>
      <c r="M133">
        <f t="shared" si="0"/>
        <v>7083.33</v>
      </c>
      <c r="N133">
        <f>Source!AC211*IF(Source!BC211&lt;&gt; 0, Source!BC211, 1)</f>
        <v>7083.33</v>
      </c>
      <c r="O133">
        <f t="shared" si="1"/>
        <v>7083.33</v>
      </c>
      <c r="P133">
        <f>Source!AE211</f>
        <v>0</v>
      </c>
      <c r="R133">
        <f t="shared" si="2"/>
        <v>0</v>
      </c>
      <c r="S133">
        <f>Source!AE211*IF(Source!BS211&lt;&gt; 0, Source!BS211, 1)</f>
        <v>0</v>
      </c>
      <c r="T133">
        <f t="shared" si="3"/>
        <v>0</v>
      </c>
      <c r="U133">
        <f>Source!GF211</f>
        <v>1764557469</v>
      </c>
      <c r="V133">
        <v>-700197268</v>
      </c>
      <c r="W133">
        <v>-700197268</v>
      </c>
      <c r="X133">
        <v>3</v>
      </c>
    </row>
    <row r="134" spans="1:24" x14ac:dyDescent="0.2">
      <c r="A134">
        <f>Source!A212</f>
        <v>18</v>
      </c>
      <c r="B134">
        <v>212</v>
      </c>
      <c r="C134">
        <v>3</v>
      </c>
      <c r="D134">
        <f>Source!BI212</f>
        <v>4</v>
      </c>
      <c r="E134">
        <f>Source!FS212</f>
        <v>0</v>
      </c>
      <c r="F134" t="str">
        <f>Source!F212</f>
        <v>Цена поставщика</v>
      </c>
      <c r="G134" t="str">
        <f>Source!G212</f>
        <v>4704 Жираф с баскетбольным щитом 1,4х1,0х2,5 м</v>
      </c>
      <c r="H134" t="str">
        <f>Source!H212</f>
        <v>шт.</v>
      </c>
      <c r="I134">
        <f>Source!I212</f>
        <v>2</v>
      </c>
      <c r="J134">
        <v>1</v>
      </c>
      <c r="K134">
        <f>Source!AC212</f>
        <v>29291.67</v>
      </c>
      <c r="M134">
        <f t="shared" si="0"/>
        <v>58583.34</v>
      </c>
      <c r="N134">
        <f>Source!AC212*IF(Source!BC212&lt;&gt; 0, Source!BC212, 1)</f>
        <v>29291.67</v>
      </c>
      <c r="O134">
        <f t="shared" si="1"/>
        <v>58583.34</v>
      </c>
      <c r="P134">
        <f>Source!AE212</f>
        <v>0</v>
      </c>
      <c r="R134">
        <f t="shared" si="2"/>
        <v>0</v>
      </c>
      <c r="S134">
        <f>Source!AE212*IF(Source!BS212&lt;&gt; 0, Source!BS212, 1)</f>
        <v>0</v>
      </c>
      <c r="T134">
        <f t="shared" si="3"/>
        <v>0</v>
      </c>
      <c r="U134">
        <f>Source!GF212</f>
        <v>-1578162312</v>
      </c>
      <c r="V134">
        <v>100200162</v>
      </c>
      <c r="W134">
        <v>100200162</v>
      </c>
      <c r="X134">
        <v>3</v>
      </c>
    </row>
    <row r="135" spans="1:24" x14ac:dyDescent="0.2">
      <c r="A135">
        <f>Source!A213</f>
        <v>18</v>
      </c>
      <c r="B135">
        <v>213</v>
      </c>
      <c r="C135">
        <v>3</v>
      </c>
      <c r="D135">
        <f>Source!BI213</f>
        <v>4</v>
      </c>
      <c r="E135">
        <f>Source!FS213</f>
        <v>0</v>
      </c>
      <c r="F135" t="str">
        <f>Source!F213</f>
        <v>Цена поставщика</v>
      </c>
      <c r="G135" t="str">
        <f>Source!G213</f>
        <v>1210-3 Качалка на пружине 0,84х0,5х0,95 м</v>
      </c>
      <c r="H135" t="str">
        <f>Source!H213</f>
        <v>шт.</v>
      </c>
      <c r="I135">
        <f>Source!I213</f>
        <v>1</v>
      </c>
      <c r="J135">
        <v>1</v>
      </c>
      <c r="K135">
        <f>Source!AC213</f>
        <v>15000</v>
      </c>
      <c r="M135">
        <f t="shared" si="0"/>
        <v>15000</v>
      </c>
      <c r="N135">
        <f>Source!AC213*IF(Source!BC213&lt;&gt; 0, Source!BC213, 1)</f>
        <v>15000</v>
      </c>
      <c r="O135">
        <f t="shared" si="1"/>
        <v>15000</v>
      </c>
      <c r="P135">
        <f>Source!AE213</f>
        <v>0</v>
      </c>
      <c r="R135">
        <f t="shared" si="2"/>
        <v>0</v>
      </c>
      <c r="S135">
        <f>Source!AE213*IF(Source!BS213&lt;&gt; 0, Source!BS213, 1)</f>
        <v>0</v>
      </c>
      <c r="T135">
        <f t="shared" si="3"/>
        <v>0</v>
      </c>
      <c r="U135">
        <f>Source!GF213</f>
        <v>-1534509924</v>
      </c>
      <c r="V135">
        <v>-1814062464</v>
      </c>
      <c r="W135">
        <v>-1814062464</v>
      </c>
      <c r="X135">
        <v>3</v>
      </c>
    </row>
    <row r="136" spans="1:24" x14ac:dyDescent="0.2">
      <c r="A136">
        <f>Source!A214</f>
        <v>18</v>
      </c>
      <c r="B136">
        <v>214</v>
      </c>
      <c r="C136">
        <v>3</v>
      </c>
      <c r="D136">
        <f>Source!BI214</f>
        <v>4</v>
      </c>
      <c r="E136">
        <f>Source!FS214</f>
        <v>0</v>
      </c>
      <c r="F136" t="str">
        <f>Source!F214</f>
        <v>Цена поставщика</v>
      </c>
      <c r="G136" t="str">
        <f>Source!G214</f>
        <v>1210-4 Качалка на пружине 0,76х0,5х0,8 м</v>
      </c>
      <c r="H136" t="str">
        <f>Source!H214</f>
        <v>шт.</v>
      </c>
      <c r="I136">
        <f>Source!I214</f>
        <v>1</v>
      </c>
      <c r="J136">
        <v>1</v>
      </c>
      <c r="K136">
        <f>Source!AC214</f>
        <v>15000</v>
      </c>
      <c r="M136">
        <f t="shared" si="0"/>
        <v>15000</v>
      </c>
      <c r="N136">
        <f>Source!AC214*IF(Source!BC214&lt;&gt; 0, Source!BC214, 1)</f>
        <v>15000</v>
      </c>
      <c r="O136">
        <f t="shared" si="1"/>
        <v>15000</v>
      </c>
      <c r="P136">
        <f>Source!AE214</f>
        <v>0</v>
      </c>
      <c r="R136">
        <f t="shared" si="2"/>
        <v>0</v>
      </c>
      <c r="S136">
        <f>Source!AE214*IF(Source!BS214&lt;&gt; 0, Source!BS214, 1)</f>
        <v>0</v>
      </c>
      <c r="T136">
        <f t="shared" si="3"/>
        <v>0</v>
      </c>
      <c r="U136">
        <f>Source!GF214</f>
        <v>1349994108</v>
      </c>
      <c r="V136">
        <v>1643594399</v>
      </c>
      <c r="W136">
        <v>1643594399</v>
      </c>
      <c r="X136">
        <v>3</v>
      </c>
    </row>
    <row r="137" spans="1:24" x14ac:dyDescent="0.2">
      <c r="A137">
        <f>Source!A215</f>
        <v>18</v>
      </c>
      <c r="B137">
        <v>215</v>
      </c>
      <c r="C137">
        <v>3</v>
      </c>
      <c r="D137">
        <f>Source!BI215</f>
        <v>4</v>
      </c>
      <c r="E137">
        <f>Source!FS215</f>
        <v>0</v>
      </c>
      <c r="F137" t="str">
        <f>Source!F215</f>
        <v>Цена поставщика</v>
      </c>
      <c r="G137" t="str">
        <f>Source!G215</f>
        <v>1210-6 Качалка на пружине 0,75х0,51х0,96 м</v>
      </c>
      <c r="H137" t="str">
        <f>Source!H215</f>
        <v>шт.</v>
      </c>
      <c r="I137">
        <f>Source!I215</f>
        <v>1</v>
      </c>
      <c r="J137">
        <v>1</v>
      </c>
      <c r="K137">
        <f>Source!AC215</f>
        <v>15750</v>
      </c>
      <c r="M137">
        <f t="shared" si="0"/>
        <v>15750</v>
      </c>
      <c r="N137">
        <f>Source!AC215*IF(Source!BC215&lt;&gt; 0, Source!BC215, 1)</f>
        <v>15750</v>
      </c>
      <c r="O137">
        <f t="shared" si="1"/>
        <v>15750</v>
      </c>
      <c r="P137">
        <f>Source!AE215</f>
        <v>0</v>
      </c>
      <c r="R137">
        <f t="shared" si="2"/>
        <v>0</v>
      </c>
      <c r="S137">
        <f>Source!AE215*IF(Source!BS215&lt;&gt; 0, Source!BS215, 1)</f>
        <v>0</v>
      </c>
      <c r="T137">
        <f t="shared" si="3"/>
        <v>0</v>
      </c>
      <c r="U137">
        <f>Source!GF215</f>
        <v>788132825</v>
      </c>
      <c r="V137">
        <v>946830125</v>
      </c>
      <c r="W137">
        <v>946830125</v>
      </c>
      <c r="X137">
        <v>3</v>
      </c>
    </row>
    <row r="138" spans="1:24" x14ac:dyDescent="0.2">
      <c r="A138">
        <f>Source!A216</f>
        <v>18</v>
      </c>
      <c r="B138">
        <v>216</v>
      </c>
      <c r="C138">
        <v>3</v>
      </c>
      <c r="D138">
        <f>Source!BI216</f>
        <v>4</v>
      </c>
      <c r="E138">
        <f>Source!FS216</f>
        <v>0</v>
      </c>
      <c r="F138" t="str">
        <f>Source!F216</f>
        <v>Цена поставщика</v>
      </c>
      <c r="G138" t="str">
        <f>Source!G216</f>
        <v>1240-2 Качалка на пружине 1,15х0,9х1,0</v>
      </c>
      <c r="H138" t="str">
        <f>Source!H216</f>
        <v>шт.</v>
      </c>
      <c r="I138">
        <f>Source!I216</f>
        <v>1</v>
      </c>
      <c r="J138">
        <v>1</v>
      </c>
      <c r="K138">
        <f>Source!AC216</f>
        <v>23750</v>
      </c>
      <c r="M138">
        <f t="shared" si="0"/>
        <v>23750</v>
      </c>
      <c r="N138">
        <f>Source!AC216*IF(Source!BC216&lt;&gt; 0, Source!BC216, 1)</f>
        <v>23750</v>
      </c>
      <c r="O138">
        <f t="shared" si="1"/>
        <v>23750</v>
      </c>
      <c r="P138">
        <f>Source!AE216</f>
        <v>0</v>
      </c>
      <c r="R138">
        <f t="shared" si="2"/>
        <v>0</v>
      </c>
      <c r="S138">
        <f>Source!AE216*IF(Source!BS216&lt;&gt; 0, Source!BS216, 1)</f>
        <v>0</v>
      </c>
      <c r="T138">
        <f t="shared" si="3"/>
        <v>0</v>
      </c>
      <c r="U138">
        <f>Source!GF216</f>
        <v>382300892</v>
      </c>
      <c r="V138">
        <v>1533381920</v>
      </c>
      <c r="W138">
        <v>1533381920</v>
      </c>
      <c r="X138">
        <v>3</v>
      </c>
    </row>
    <row r="139" spans="1:24" x14ac:dyDescent="0.2">
      <c r="A139">
        <f>Source!A217</f>
        <v>18</v>
      </c>
      <c r="B139">
        <v>217</v>
      </c>
      <c r="C139">
        <v>3</v>
      </c>
      <c r="D139">
        <f>Source!BI217</f>
        <v>4</v>
      </c>
      <c r="E139">
        <f>Source!FS217</f>
        <v>0</v>
      </c>
      <c r="F139" t="str">
        <f>Source!F217</f>
        <v>Цена поставщика</v>
      </c>
      <c r="G139" t="str">
        <f>Source!G217</f>
        <v>1621 Лавочка Автомобиль 1,5х0,6х1,0 м</v>
      </c>
      <c r="H139" t="str">
        <f>Source!H217</f>
        <v>шт.</v>
      </c>
      <c r="I139">
        <f>Source!I217</f>
        <v>1</v>
      </c>
      <c r="J139">
        <v>1</v>
      </c>
      <c r="K139">
        <f>Source!AC217</f>
        <v>10375</v>
      </c>
      <c r="M139">
        <f t="shared" si="0"/>
        <v>10375</v>
      </c>
      <c r="N139">
        <f>Source!AC217*IF(Source!BC217&lt;&gt; 0, Source!BC217, 1)</f>
        <v>10375</v>
      </c>
      <c r="O139">
        <f t="shared" si="1"/>
        <v>10375</v>
      </c>
      <c r="P139">
        <f>Source!AE217</f>
        <v>0</v>
      </c>
      <c r="R139">
        <f t="shared" si="2"/>
        <v>0</v>
      </c>
      <c r="S139">
        <f>Source!AE217*IF(Source!BS217&lt;&gt; 0, Source!BS217, 1)</f>
        <v>0</v>
      </c>
      <c r="T139">
        <f t="shared" si="3"/>
        <v>0</v>
      </c>
      <c r="U139">
        <f>Source!GF217</f>
        <v>324752368</v>
      </c>
      <c r="V139">
        <v>-1730417862</v>
      </c>
      <c r="W139">
        <v>-1730417862</v>
      </c>
      <c r="X139">
        <v>3</v>
      </c>
    </row>
    <row r="140" spans="1:24" x14ac:dyDescent="0.2">
      <c r="A140">
        <f>Source!A218</f>
        <v>18</v>
      </c>
      <c r="B140">
        <v>218</v>
      </c>
      <c r="C140">
        <v>3</v>
      </c>
      <c r="D140">
        <f>Source!BI218</f>
        <v>4</v>
      </c>
      <c r="E140">
        <f>Source!FS218</f>
        <v>0</v>
      </c>
      <c r="F140" t="str">
        <f>Source!F218</f>
        <v>Цена поставщика</v>
      </c>
      <c r="G140" t="str">
        <f>Source!G218</f>
        <v>1622 Лавочка Карета 1,5х0,6х1,0 м</v>
      </c>
      <c r="H140" t="str">
        <f>Source!H218</f>
        <v>шт.</v>
      </c>
      <c r="I140">
        <f>Source!I218</f>
        <v>1</v>
      </c>
      <c r="J140">
        <v>1</v>
      </c>
      <c r="K140">
        <f>Source!AC218</f>
        <v>10375</v>
      </c>
      <c r="M140">
        <f t="shared" si="0"/>
        <v>10375</v>
      </c>
      <c r="N140">
        <f>Source!AC218*IF(Source!BC218&lt;&gt; 0, Source!BC218, 1)</f>
        <v>10375</v>
      </c>
      <c r="O140">
        <f t="shared" si="1"/>
        <v>10375</v>
      </c>
      <c r="P140">
        <f>Source!AE218</f>
        <v>0</v>
      </c>
      <c r="R140">
        <f t="shared" si="2"/>
        <v>0</v>
      </c>
      <c r="S140">
        <f>Source!AE218*IF(Source!BS218&lt;&gt; 0, Source!BS218, 1)</f>
        <v>0</v>
      </c>
      <c r="T140">
        <f t="shared" si="3"/>
        <v>0</v>
      </c>
      <c r="U140">
        <f>Source!GF218</f>
        <v>-2034876485</v>
      </c>
      <c r="V140">
        <v>1997698167</v>
      </c>
      <c r="W140">
        <v>1997698167</v>
      </c>
      <c r="X140">
        <v>3</v>
      </c>
    </row>
    <row r="141" spans="1:24" x14ac:dyDescent="0.2">
      <c r="A141">
        <f>Source!A219</f>
        <v>18</v>
      </c>
      <c r="B141">
        <v>219</v>
      </c>
      <c r="C141">
        <v>3</v>
      </c>
      <c r="D141">
        <f>Source!BI219</f>
        <v>4</v>
      </c>
      <c r="E141">
        <f>Source!FS219</f>
        <v>0</v>
      </c>
      <c r="F141" t="str">
        <f>Source!F219</f>
        <v>Цена поставщика</v>
      </c>
      <c r="G141" t="str">
        <f>Source!G219</f>
        <v>1625 Лавочка Медвежонок 1,2х0,42х0,92 м</v>
      </c>
      <c r="H141" t="str">
        <f>Source!H219</f>
        <v>шт.</v>
      </c>
      <c r="I141">
        <f>Source!I219</f>
        <v>1</v>
      </c>
      <c r="J141">
        <v>1</v>
      </c>
      <c r="K141">
        <f>Source!AC219</f>
        <v>6208.33</v>
      </c>
      <c r="M141">
        <f t="shared" si="0"/>
        <v>6208.33</v>
      </c>
      <c r="N141">
        <f>Source!AC219*IF(Source!BC219&lt;&gt; 0, Source!BC219, 1)</f>
        <v>6208.33</v>
      </c>
      <c r="O141">
        <f t="shared" si="1"/>
        <v>6208.33</v>
      </c>
      <c r="P141">
        <f>Source!AE219</f>
        <v>0</v>
      </c>
      <c r="R141">
        <f t="shared" si="2"/>
        <v>0</v>
      </c>
      <c r="S141">
        <f>Source!AE219*IF(Source!BS219&lt;&gt; 0, Source!BS219, 1)</f>
        <v>0</v>
      </c>
      <c r="T141">
        <f t="shared" si="3"/>
        <v>0</v>
      </c>
      <c r="U141">
        <f>Source!GF219</f>
        <v>-468958534</v>
      </c>
      <c r="V141">
        <v>-1002898437</v>
      </c>
      <c r="W141">
        <v>-1002898437</v>
      </c>
      <c r="X141">
        <v>3</v>
      </c>
    </row>
    <row r="142" spans="1:24" x14ac:dyDescent="0.2">
      <c r="A142">
        <f>Source!A220</f>
        <v>18</v>
      </c>
      <c r="B142">
        <v>220</v>
      </c>
      <c r="C142">
        <v>3</v>
      </c>
      <c r="D142">
        <f>Source!BI220</f>
        <v>4</v>
      </c>
      <c r="E142">
        <f>Source!FS220</f>
        <v>0</v>
      </c>
      <c r="F142" t="str">
        <f>Source!F220</f>
        <v>Цена поставщика</v>
      </c>
      <c r="G142" t="str">
        <f>Source!G220</f>
        <v>1626 Лавочка Касатка 1,2х0,42х0,95 м</v>
      </c>
      <c r="H142" t="str">
        <f>Source!H220</f>
        <v>шт.</v>
      </c>
      <c r="I142">
        <f>Source!I220</f>
        <v>1</v>
      </c>
      <c r="J142">
        <v>1</v>
      </c>
      <c r="K142">
        <f>Source!AC220</f>
        <v>6208.33</v>
      </c>
      <c r="M142">
        <f t="shared" si="0"/>
        <v>6208.33</v>
      </c>
      <c r="N142">
        <f>Source!AC220*IF(Source!BC220&lt;&gt; 0, Source!BC220, 1)</f>
        <v>6208.33</v>
      </c>
      <c r="O142">
        <f t="shared" si="1"/>
        <v>6208.33</v>
      </c>
      <c r="P142">
        <f>Source!AE220</f>
        <v>0</v>
      </c>
      <c r="R142">
        <f t="shared" si="2"/>
        <v>0</v>
      </c>
      <c r="S142">
        <f>Source!AE220*IF(Source!BS220&lt;&gt; 0, Source!BS220, 1)</f>
        <v>0</v>
      </c>
      <c r="T142">
        <f t="shared" si="3"/>
        <v>0</v>
      </c>
      <c r="U142">
        <f>Source!GF220</f>
        <v>-1978890027</v>
      </c>
      <c r="V142">
        <v>-1768255661</v>
      </c>
      <c r="W142">
        <v>-1768255661</v>
      </c>
      <c r="X142">
        <v>3</v>
      </c>
    </row>
    <row r="143" spans="1:24" x14ac:dyDescent="0.2">
      <c r="A143">
        <f>Source!A221</f>
        <v>18</v>
      </c>
      <c r="B143">
        <v>221</v>
      </c>
      <c r="C143">
        <v>3</v>
      </c>
      <c r="D143">
        <f>Source!BI221</f>
        <v>4</v>
      </c>
      <c r="E143">
        <f>Source!FS221</f>
        <v>0</v>
      </c>
      <c r="F143" t="str">
        <f>Source!F221</f>
        <v>Цена поставщика</v>
      </c>
      <c r="G143" t="str">
        <f>Source!G221</f>
        <v>4001 Стол со стульчиками 1,2х1,2х0,6 м</v>
      </c>
      <c r="H143" t="str">
        <f>Source!H221</f>
        <v>шт.</v>
      </c>
      <c r="I143">
        <f>Source!I221</f>
        <v>4</v>
      </c>
      <c r="J143">
        <v>1</v>
      </c>
      <c r="K143">
        <f>Source!AC221</f>
        <v>10625</v>
      </c>
      <c r="M143">
        <f t="shared" si="0"/>
        <v>42500</v>
      </c>
      <c r="N143">
        <f>Source!AC221*IF(Source!BC221&lt;&gt; 0, Source!BC221, 1)</f>
        <v>10625</v>
      </c>
      <c r="O143">
        <f t="shared" si="1"/>
        <v>42500</v>
      </c>
      <c r="P143">
        <f>Source!AE221</f>
        <v>0</v>
      </c>
      <c r="R143">
        <f t="shared" si="2"/>
        <v>0</v>
      </c>
      <c r="S143">
        <f>Source!AE221*IF(Source!BS221&lt;&gt; 0, Source!BS221, 1)</f>
        <v>0</v>
      </c>
      <c r="T143">
        <f t="shared" si="3"/>
        <v>0</v>
      </c>
      <c r="U143">
        <f>Source!GF221</f>
        <v>-1470213913</v>
      </c>
      <c r="V143">
        <v>1086559830</v>
      </c>
      <c r="W143">
        <v>1086559830</v>
      </c>
      <c r="X143">
        <v>3</v>
      </c>
    </row>
    <row r="144" spans="1:24" x14ac:dyDescent="0.2">
      <c r="A144">
        <f>Source!A222</f>
        <v>18</v>
      </c>
      <c r="B144">
        <v>222</v>
      </c>
      <c r="C144">
        <v>3</v>
      </c>
      <c r="D144">
        <f>Source!BI222</f>
        <v>4</v>
      </c>
      <c r="E144">
        <f>Source!FS222</f>
        <v>0</v>
      </c>
      <c r="F144" t="str">
        <f>Source!F222</f>
        <v>Цена поставщика</v>
      </c>
      <c r="G144" t="str">
        <f>Source!G222</f>
        <v>4102 Домик Тип 2 1,5х1,4х1,6 м</v>
      </c>
      <c r="H144" t="str">
        <f>Source!H222</f>
        <v>шт.</v>
      </c>
      <c r="I144">
        <f>Source!I222</f>
        <v>1</v>
      </c>
      <c r="J144">
        <v>1</v>
      </c>
      <c r="K144">
        <f>Source!AC222</f>
        <v>33250</v>
      </c>
      <c r="M144">
        <f t="shared" si="0"/>
        <v>33250</v>
      </c>
      <c r="N144">
        <f>Source!AC222*IF(Source!BC222&lt;&gt; 0, Source!BC222, 1)</f>
        <v>33250</v>
      </c>
      <c r="O144">
        <f t="shared" si="1"/>
        <v>33250</v>
      </c>
      <c r="P144">
        <f>Source!AE222</f>
        <v>0</v>
      </c>
      <c r="R144">
        <f t="shared" si="2"/>
        <v>0</v>
      </c>
      <c r="S144">
        <f>Source!AE222*IF(Source!BS222&lt;&gt; 0, Source!BS222, 1)</f>
        <v>0</v>
      </c>
      <c r="T144">
        <f t="shared" si="3"/>
        <v>0</v>
      </c>
      <c r="U144">
        <f>Source!GF222</f>
        <v>-1163931199</v>
      </c>
      <c r="V144">
        <v>-2056538113</v>
      </c>
      <c r="W144">
        <v>-2056538113</v>
      </c>
      <c r="X144">
        <v>3</v>
      </c>
    </row>
    <row r="145" spans="1:24" x14ac:dyDescent="0.2">
      <c r="A145">
        <f>Source!A223</f>
        <v>18</v>
      </c>
      <c r="B145">
        <v>223</v>
      </c>
      <c r="C145">
        <v>3</v>
      </c>
      <c r="D145">
        <f>Source!BI223</f>
        <v>4</v>
      </c>
      <c r="E145">
        <f>Source!FS223</f>
        <v>0</v>
      </c>
      <c r="F145" t="str">
        <f>Source!F223</f>
        <v>Цена поставщика</v>
      </c>
      <c r="G145" t="str">
        <f>Source!G223</f>
        <v>4104-1 Домик Тип 4 1,1х1,0х2,0 м</v>
      </c>
      <c r="H145" t="str">
        <f>Source!H223</f>
        <v>шт.</v>
      </c>
      <c r="I145">
        <f>Source!I223</f>
        <v>1</v>
      </c>
      <c r="J145">
        <v>1</v>
      </c>
      <c r="K145">
        <f>Source!AC223</f>
        <v>29916.67</v>
      </c>
      <c r="M145">
        <f t="shared" si="0"/>
        <v>29916.67</v>
      </c>
      <c r="N145">
        <f>Source!AC223*IF(Source!BC223&lt;&gt; 0, Source!BC223, 1)</f>
        <v>29916.67</v>
      </c>
      <c r="O145">
        <f t="shared" si="1"/>
        <v>29916.67</v>
      </c>
      <c r="P145">
        <f>Source!AE223</f>
        <v>0</v>
      </c>
      <c r="R145">
        <f t="shared" si="2"/>
        <v>0</v>
      </c>
      <c r="S145">
        <f>Source!AE223*IF(Source!BS223&lt;&gt; 0, Source!BS223, 1)</f>
        <v>0</v>
      </c>
      <c r="T145">
        <f t="shared" si="3"/>
        <v>0</v>
      </c>
      <c r="U145">
        <f>Source!GF223</f>
        <v>-64936516</v>
      </c>
      <c r="V145">
        <v>-444119780</v>
      </c>
      <c r="W145">
        <v>-444119780</v>
      </c>
      <c r="X145">
        <v>3</v>
      </c>
    </row>
    <row r="146" spans="1:24" x14ac:dyDescent="0.2">
      <c r="A146">
        <f>Source!A224</f>
        <v>18</v>
      </c>
      <c r="B146">
        <v>224</v>
      </c>
      <c r="C146">
        <v>3</v>
      </c>
      <c r="D146">
        <f>Source!BI224</f>
        <v>4</v>
      </c>
      <c r="E146">
        <f>Source!FS224</f>
        <v>0</v>
      </c>
      <c r="F146" t="str">
        <f>Source!F224</f>
        <v>Цена поставщика</v>
      </c>
      <c r="G146" t="str">
        <f>Source!G224</f>
        <v>4104-4 Домик Тип 4 1,4х1,4х2,5 м</v>
      </c>
      <c r="H146" t="str">
        <f>Source!H224</f>
        <v>шт.</v>
      </c>
      <c r="I146">
        <f>Source!I224</f>
        <v>1</v>
      </c>
      <c r="J146">
        <v>1</v>
      </c>
      <c r="K146">
        <f>Source!AC224</f>
        <v>33125</v>
      </c>
      <c r="M146">
        <f t="shared" si="0"/>
        <v>33125</v>
      </c>
      <c r="N146">
        <f>Source!AC224*IF(Source!BC224&lt;&gt; 0, Source!BC224, 1)</f>
        <v>33125</v>
      </c>
      <c r="O146">
        <f t="shared" si="1"/>
        <v>33125</v>
      </c>
      <c r="P146">
        <f>Source!AE224</f>
        <v>0</v>
      </c>
      <c r="R146">
        <f t="shared" si="2"/>
        <v>0</v>
      </c>
      <c r="S146">
        <f>Source!AE224*IF(Source!BS224&lt;&gt; 0, Source!BS224, 1)</f>
        <v>0</v>
      </c>
      <c r="T146">
        <f t="shared" si="3"/>
        <v>0</v>
      </c>
      <c r="U146">
        <f>Source!GF224</f>
        <v>-456930386</v>
      </c>
      <c r="V146">
        <v>-1381604339</v>
      </c>
      <c r="W146">
        <v>-1381604339</v>
      </c>
      <c r="X146">
        <v>3</v>
      </c>
    </row>
    <row r="147" spans="1:24" x14ac:dyDescent="0.2">
      <c r="A147">
        <f>Source!A225</f>
        <v>18</v>
      </c>
      <c r="B147">
        <v>225</v>
      </c>
      <c r="C147">
        <v>3</v>
      </c>
      <c r="D147">
        <f>Source!BI225</f>
        <v>4</v>
      </c>
      <c r="E147">
        <f>Source!FS225</f>
        <v>0</v>
      </c>
      <c r="F147" t="str">
        <f>Source!F225</f>
        <v>Цена поставщика</v>
      </c>
      <c r="G147" t="str">
        <f>Source!G225</f>
        <v>4104-2 Домик Тип 4 1,0х1,0х1,75 м</v>
      </c>
      <c r="H147" t="str">
        <f>Source!H225</f>
        <v>шт.</v>
      </c>
      <c r="I147">
        <f>Source!I225</f>
        <v>1</v>
      </c>
      <c r="J147">
        <v>1</v>
      </c>
      <c r="K147">
        <f>Source!AC225</f>
        <v>28541.67</v>
      </c>
      <c r="M147">
        <f t="shared" si="0"/>
        <v>28541.67</v>
      </c>
      <c r="N147">
        <f>Source!AC225*IF(Source!BC225&lt;&gt; 0, Source!BC225, 1)</f>
        <v>28541.67</v>
      </c>
      <c r="O147">
        <f t="shared" si="1"/>
        <v>28541.67</v>
      </c>
      <c r="P147">
        <f>Source!AE225</f>
        <v>0</v>
      </c>
      <c r="R147">
        <f t="shared" si="2"/>
        <v>0</v>
      </c>
      <c r="S147">
        <f>Source!AE225*IF(Source!BS225&lt;&gt; 0, Source!BS225, 1)</f>
        <v>0</v>
      </c>
      <c r="T147">
        <f t="shared" si="3"/>
        <v>0</v>
      </c>
      <c r="U147">
        <f>Source!GF225</f>
        <v>44827932</v>
      </c>
      <c r="V147">
        <v>967307533</v>
      </c>
      <c r="W147">
        <v>967307533</v>
      </c>
      <c r="X147">
        <v>3</v>
      </c>
    </row>
    <row r="148" spans="1:24" x14ac:dyDescent="0.2">
      <c r="A148">
        <f>Source!A226</f>
        <v>18</v>
      </c>
      <c r="B148">
        <v>226</v>
      </c>
      <c r="C148">
        <v>3</v>
      </c>
      <c r="D148">
        <f>Source!BI226</f>
        <v>4</v>
      </c>
      <c r="E148">
        <f>Source!FS226</f>
        <v>0</v>
      </c>
      <c r="F148" t="str">
        <f>Source!F226</f>
        <v>Цена поставщика</v>
      </c>
      <c r="G148" t="str">
        <f>Source!G226</f>
        <v>6006 Стенд 1,18х0,45х2,0 м</v>
      </c>
      <c r="H148" t="str">
        <f>Source!H226</f>
        <v>шт.</v>
      </c>
      <c r="I148">
        <f>Source!I226</f>
        <v>1</v>
      </c>
      <c r="J148">
        <v>1</v>
      </c>
      <c r="K148">
        <f>Source!AC226</f>
        <v>10416.67</v>
      </c>
      <c r="M148">
        <f t="shared" si="0"/>
        <v>10416.67</v>
      </c>
      <c r="N148">
        <f>Source!AC226*IF(Source!BC226&lt;&gt; 0, Source!BC226, 1)</f>
        <v>10416.67</v>
      </c>
      <c r="O148">
        <f t="shared" si="1"/>
        <v>10416.67</v>
      </c>
      <c r="P148">
        <f>Source!AE226</f>
        <v>0</v>
      </c>
      <c r="R148">
        <f t="shared" si="2"/>
        <v>0</v>
      </c>
      <c r="S148">
        <f>Source!AE226*IF(Source!BS226&lt;&gt; 0, Source!BS226, 1)</f>
        <v>0</v>
      </c>
      <c r="T148">
        <f t="shared" si="3"/>
        <v>0</v>
      </c>
      <c r="U148">
        <f>Source!GF226</f>
        <v>1271355772</v>
      </c>
      <c r="V148">
        <v>-1507219202</v>
      </c>
      <c r="W148">
        <v>-1507219202</v>
      </c>
      <c r="X148">
        <v>3</v>
      </c>
    </row>
    <row r="149" spans="1:24" x14ac:dyDescent="0.2">
      <c r="A149">
        <f>Source!A227</f>
        <v>18</v>
      </c>
      <c r="B149">
        <v>227</v>
      </c>
      <c r="C149">
        <v>3</v>
      </c>
      <c r="D149">
        <f>Source!BI227</f>
        <v>4</v>
      </c>
      <c r="E149">
        <f>Source!FS227</f>
        <v>0</v>
      </c>
      <c r="F149" t="str">
        <f>Source!F227</f>
        <v>Цена поставщика</v>
      </c>
      <c r="G149" t="str">
        <f>Source!G227</f>
        <v>6002 Велопарковка Тип 2 2,9х1,0х1,0 м</v>
      </c>
      <c r="H149" t="str">
        <f>Source!H227</f>
        <v>шт.</v>
      </c>
      <c r="I149">
        <f>Source!I227</f>
        <v>1</v>
      </c>
      <c r="J149">
        <v>1</v>
      </c>
      <c r="K149">
        <f>Source!AC227</f>
        <v>10416.67</v>
      </c>
      <c r="M149">
        <f t="shared" si="0"/>
        <v>10416.67</v>
      </c>
      <c r="N149">
        <f>Source!AC227*IF(Source!BC227&lt;&gt; 0, Source!BC227, 1)</f>
        <v>10416.67</v>
      </c>
      <c r="O149">
        <f t="shared" si="1"/>
        <v>10416.67</v>
      </c>
      <c r="P149">
        <f>Source!AE227</f>
        <v>0</v>
      </c>
      <c r="R149">
        <f t="shared" si="2"/>
        <v>0</v>
      </c>
      <c r="S149">
        <f>Source!AE227*IF(Source!BS227&lt;&gt; 0, Source!BS227, 1)</f>
        <v>0</v>
      </c>
      <c r="T149">
        <f t="shared" si="3"/>
        <v>0</v>
      </c>
      <c r="U149">
        <f>Source!GF227</f>
        <v>82112519</v>
      </c>
      <c r="V149">
        <v>1254595323</v>
      </c>
      <c r="W149">
        <v>1254595323</v>
      </c>
      <c r="X149">
        <v>3</v>
      </c>
    </row>
    <row r="150" spans="1:24" x14ac:dyDescent="0.2">
      <c r="A150">
        <f>Source!A228</f>
        <v>18</v>
      </c>
      <c r="B150">
        <v>228</v>
      </c>
      <c r="C150">
        <v>3</v>
      </c>
      <c r="D150">
        <f>Source!BI228</f>
        <v>4</v>
      </c>
      <c r="E150">
        <f>Source!FS228</f>
        <v>0</v>
      </c>
      <c r="F150" t="str">
        <f>Source!F228</f>
        <v>Цена поставщика</v>
      </c>
      <c r="G150" t="str">
        <f>Source!G228</f>
        <v>3513 Футбольные ворота (без сетки) 3,0х1,04х2,0 м</v>
      </c>
      <c r="H150" t="str">
        <f>Source!H228</f>
        <v>шт.</v>
      </c>
      <c r="I150">
        <f>Source!I228</f>
        <v>2</v>
      </c>
      <c r="J150">
        <v>1</v>
      </c>
      <c r="K150">
        <f>Source!AC228</f>
        <v>11458.33</v>
      </c>
      <c r="M150">
        <f t="shared" si="0"/>
        <v>22916.66</v>
      </c>
      <c r="N150">
        <f>Source!AC228*IF(Source!BC228&lt;&gt; 0, Source!BC228, 1)</f>
        <v>11458.33</v>
      </c>
      <c r="O150">
        <f t="shared" si="1"/>
        <v>22916.66</v>
      </c>
      <c r="P150">
        <f>Source!AE228</f>
        <v>0</v>
      </c>
      <c r="R150">
        <f t="shared" si="2"/>
        <v>0</v>
      </c>
      <c r="S150">
        <f>Source!AE228*IF(Source!BS228&lt;&gt; 0, Source!BS228, 1)</f>
        <v>0</v>
      </c>
      <c r="T150">
        <f t="shared" si="3"/>
        <v>0</v>
      </c>
      <c r="U150">
        <f>Source!GF228</f>
        <v>2137368623</v>
      </c>
      <c r="V150">
        <v>-247252093</v>
      </c>
      <c r="W150">
        <v>-247252093</v>
      </c>
      <c r="X150">
        <v>3</v>
      </c>
    </row>
    <row r="151" spans="1:24" x14ac:dyDescent="0.2">
      <c r="A151">
        <f>Source!A290</f>
        <v>4</v>
      </c>
      <c r="B151">
        <v>290</v>
      </c>
      <c r="G151" t="str">
        <f>Source!G290</f>
        <v>Контейнерная площадка</v>
      </c>
    </row>
    <row r="152" spans="1:24" x14ac:dyDescent="0.2">
      <c r="A152">
        <f>Source!A294</f>
        <v>5</v>
      </c>
      <c r="B152">
        <v>294</v>
      </c>
      <c r="G152" t="str">
        <f>Source!G294</f>
        <v>Демонтажные работы</v>
      </c>
    </row>
    <row r="153" spans="1:24" x14ac:dyDescent="0.2">
      <c r="A153">
        <v>20</v>
      </c>
      <c r="B153">
        <v>185</v>
      </c>
      <c r="C153">
        <v>2</v>
      </c>
      <c r="D153">
        <v>0</v>
      </c>
      <c r="E153">
        <f>SmtRes!AV185</f>
        <v>0</v>
      </c>
      <c r="F153" t="str">
        <f>SmtRes!I185</f>
        <v>22.1-4-45</v>
      </c>
      <c r="G153" t="str">
        <f>SmtRes!K185</f>
        <v>Домкраты гидравлические, грузоподъемность до 100 т</v>
      </c>
      <c r="H153" t="str">
        <f>SmtRes!O185</f>
        <v>маш.-ч</v>
      </c>
      <c r="I153">
        <f>SmtRes!Y185*Source!I298</f>
        <v>1.6500000000000001E-2</v>
      </c>
      <c r="J153">
        <f>SmtRes!AO185</f>
        <v>1</v>
      </c>
      <c r="K153">
        <f>SmtRes!AF185</f>
        <v>10.39</v>
      </c>
      <c r="L153">
        <f>SmtRes!DB185</f>
        <v>2.286</v>
      </c>
      <c r="M153">
        <f>ROUND(ROUND(L153*Source!I298, 6)*1, 2)</f>
        <v>0.17</v>
      </c>
      <c r="N153">
        <f>SmtRes!AB185</f>
        <v>10.39</v>
      </c>
      <c r="O153">
        <f>ROUND(ROUND(L153*Source!I298, 6)*SmtRes!DA185, 2)</f>
        <v>0.17</v>
      </c>
      <c r="P153">
        <f>SmtRes!AG185</f>
        <v>0.03</v>
      </c>
      <c r="Q153">
        <f>SmtRes!DC185</f>
        <v>6.0000000000000001E-3</v>
      </c>
      <c r="R153">
        <f>ROUND(ROUND(Q153*Source!I298, 6)*1, 2)</f>
        <v>0</v>
      </c>
      <c r="S153">
        <f>SmtRes!AC185</f>
        <v>0.03</v>
      </c>
      <c r="T153">
        <f>ROUND(ROUND(Q153*Source!I298, 6)*SmtRes!AK185, 2)</f>
        <v>0</v>
      </c>
      <c r="U153">
        <f>SmtRes!X185</f>
        <v>-699398312</v>
      </c>
      <c r="V153">
        <v>-272556929</v>
      </c>
      <c r="W153">
        <v>-272556929</v>
      </c>
      <c r="X153">
        <v>2</v>
      </c>
    </row>
    <row r="154" spans="1:24" x14ac:dyDescent="0.2">
      <c r="A154">
        <v>20</v>
      </c>
      <c r="B154">
        <v>184</v>
      </c>
      <c r="C154">
        <v>2</v>
      </c>
      <c r="D154">
        <v>0</v>
      </c>
      <c r="E154">
        <f>SmtRes!AV184</f>
        <v>0</v>
      </c>
      <c r="F154" t="str">
        <f>SmtRes!I184</f>
        <v>22.1-30-5</v>
      </c>
      <c r="G154" t="str">
        <f>SmtRes!K184</f>
        <v>Машины сверлильные ручные электрические</v>
      </c>
      <c r="H154" t="str">
        <f>SmtRes!O184</f>
        <v>маш.-ч</v>
      </c>
      <c r="I154">
        <f>SmtRes!Y184*Source!I298</f>
        <v>4.5149999999999996E-2</v>
      </c>
      <c r="J154">
        <f>SmtRes!AO184</f>
        <v>1</v>
      </c>
      <c r="K154">
        <f>SmtRes!AF184</f>
        <v>4.71</v>
      </c>
      <c r="L154">
        <f>SmtRes!DB184</f>
        <v>2.8359999999999999</v>
      </c>
      <c r="M154">
        <f>ROUND(ROUND(L154*Source!I298, 6)*1, 2)</f>
        <v>0.21</v>
      </c>
      <c r="N154">
        <f>SmtRes!AB184</f>
        <v>4.71</v>
      </c>
      <c r="O154">
        <f>ROUND(ROUND(L154*Source!I298, 6)*SmtRes!DA184, 2)</f>
        <v>0.21</v>
      </c>
      <c r="P154">
        <f>SmtRes!AG184</f>
        <v>1.1200000000000001</v>
      </c>
      <c r="Q154">
        <f>SmtRes!DC184</f>
        <v>0.67400000000000004</v>
      </c>
      <c r="R154">
        <f>ROUND(ROUND(Q154*Source!I298, 6)*1, 2)</f>
        <v>0.05</v>
      </c>
      <c r="S154">
        <f>SmtRes!AC184</f>
        <v>1.1200000000000001</v>
      </c>
      <c r="T154">
        <f>ROUND(ROUND(Q154*Source!I298, 6)*SmtRes!AK184, 2)</f>
        <v>0.05</v>
      </c>
      <c r="U154">
        <f>SmtRes!X184</f>
        <v>-2096205149</v>
      </c>
      <c r="V154">
        <v>-1065957140</v>
      </c>
      <c r="W154">
        <v>-1065957140</v>
      </c>
      <c r="X154">
        <v>2</v>
      </c>
    </row>
    <row r="155" spans="1:24" x14ac:dyDescent="0.2">
      <c r="A155">
        <v>20</v>
      </c>
      <c r="B155">
        <v>183</v>
      </c>
      <c r="C155">
        <v>2</v>
      </c>
      <c r="D155">
        <v>0</v>
      </c>
      <c r="E155">
        <f>SmtRes!AV183</f>
        <v>0</v>
      </c>
      <c r="F155" t="str">
        <f>SmtRes!I183</f>
        <v>22.1-30-46</v>
      </c>
      <c r="G155" t="str">
        <f>SmtRes!K183</f>
        <v>Преобразователи частоты тока до 500 А</v>
      </c>
      <c r="H155" t="str">
        <f>SmtRes!O183</f>
        <v>маш.-ч</v>
      </c>
      <c r="I155">
        <f>SmtRes!Y183*Source!I298</f>
        <v>3.0000000000000005E-3</v>
      </c>
      <c r="J155">
        <f>SmtRes!AO183</f>
        <v>1</v>
      </c>
      <c r="K155">
        <f>SmtRes!AF183</f>
        <v>27.02</v>
      </c>
      <c r="L155">
        <f>SmtRes!DB183</f>
        <v>1.08</v>
      </c>
      <c r="M155">
        <f>ROUND(ROUND(L155*Source!I298, 6)*1, 2)</f>
        <v>0.08</v>
      </c>
      <c r="N155">
        <f>SmtRes!AB183</f>
        <v>27.02</v>
      </c>
      <c r="O155">
        <f>ROUND(ROUND(L155*Source!I298, 6)*SmtRes!DA183, 2)</f>
        <v>0.08</v>
      </c>
      <c r="P155">
        <f>SmtRes!AG183</f>
        <v>0.03</v>
      </c>
      <c r="Q155">
        <f>SmtRes!DC183</f>
        <v>2E-3</v>
      </c>
      <c r="R155">
        <f>ROUND(ROUND(Q155*Source!I298, 6)*1, 2)</f>
        <v>0</v>
      </c>
      <c r="S155">
        <f>SmtRes!AC183</f>
        <v>0.03</v>
      </c>
      <c r="T155">
        <f>ROUND(ROUND(Q155*Source!I298, 6)*SmtRes!AK183, 2)</f>
        <v>0</v>
      </c>
      <c r="U155">
        <f>SmtRes!X183</f>
        <v>118009128</v>
      </c>
      <c r="V155">
        <v>222750254</v>
      </c>
      <c r="W155">
        <v>222750254</v>
      </c>
      <c r="X155">
        <v>2</v>
      </c>
    </row>
    <row r="156" spans="1:24" x14ac:dyDescent="0.2">
      <c r="A156">
        <v>20</v>
      </c>
      <c r="B156">
        <v>182</v>
      </c>
      <c r="C156">
        <v>2</v>
      </c>
      <c r="D156">
        <v>0</v>
      </c>
      <c r="E156">
        <f>SmtRes!AV182</f>
        <v>0</v>
      </c>
      <c r="F156" t="str">
        <f>SmtRes!I182</f>
        <v>22.1-13-21</v>
      </c>
      <c r="G156" t="str">
        <f>SmtRes!K182</f>
        <v>Печи электрические для сушки сварочных материалов с регулированием температуры в пределах 80-500С</v>
      </c>
      <c r="H156" t="str">
        <f>SmtRes!O182</f>
        <v>маш.-ч</v>
      </c>
      <c r="I156">
        <f>SmtRes!Y182*Source!I298</f>
        <v>2.9999999999999997E-4</v>
      </c>
      <c r="J156">
        <f>SmtRes!AO182</f>
        <v>1</v>
      </c>
      <c r="K156">
        <f>SmtRes!AF182</f>
        <v>41.19</v>
      </c>
      <c r="L156">
        <f>SmtRes!DB182</f>
        <v>0.16400000000000001</v>
      </c>
      <c r="M156">
        <f>ROUND(ROUND(L156*Source!I298, 6)*1, 2)</f>
        <v>0.01</v>
      </c>
      <c r="N156">
        <f>SmtRes!AB182</f>
        <v>41.19</v>
      </c>
      <c r="O156">
        <f>ROUND(ROUND(L156*Source!I298, 6)*SmtRes!DA182, 2)</f>
        <v>0.01</v>
      </c>
      <c r="P156">
        <f>SmtRes!AG182</f>
        <v>0.34</v>
      </c>
      <c r="Q156">
        <f>SmtRes!DC182</f>
        <v>2E-3</v>
      </c>
      <c r="R156">
        <f>ROUND(ROUND(Q156*Source!I298, 6)*1, 2)</f>
        <v>0</v>
      </c>
      <c r="S156">
        <f>SmtRes!AC182</f>
        <v>0.34</v>
      </c>
      <c r="T156">
        <f>ROUND(ROUND(Q156*Source!I298, 6)*SmtRes!AK182, 2)</f>
        <v>0</v>
      </c>
      <c r="U156">
        <f>SmtRes!X182</f>
        <v>844705367</v>
      </c>
      <c r="V156">
        <v>953863627</v>
      </c>
      <c r="W156">
        <v>953863627</v>
      </c>
      <c r="X156">
        <v>2</v>
      </c>
    </row>
    <row r="157" spans="1:24" x14ac:dyDescent="0.2">
      <c r="A157">
        <v>20</v>
      </c>
      <c r="B157">
        <v>190</v>
      </c>
      <c r="C157">
        <v>2</v>
      </c>
      <c r="D157">
        <v>0</v>
      </c>
      <c r="E157">
        <f>SmtRes!AV190</f>
        <v>0</v>
      </c>
      <c r="F157" t="str">
        <f>SmtRes!I190</f>
        <v>22.1-4-31</v>
      </c>
      <c r="G157" t="str">
        <f>SmtRes!K190</f>
        <v>Лебедки электрические, грузоподъемность до 1,5 т</v>
      </c>
      <c r="H157" t="str">
        <f>SmtRes!O190</f>
        <v>маш.-ч</v>
      </c>
      <c r="I157">
        <f>SmtRes!Y190*Source!I299</f>
        <v>0.24000000000000005</v>
      </c>
      <c r="J157">
        <f>SmtRes!AO190</f>
        <v>1</v>
      </c>
      <c r="K157">
        <f>SmtRes!AF190</f>
        <v>31</v>
      </c>
      <c r="L157">
        <f>SmtRes!DB190</f>
        <v>148.80000000000001</v>
      </c>
      <c r="M157">
        <f>ROUND(ROUND(L157*Source!I299, 6)*1, 2)</f>
        <v>7.44</v>
      </c>
      <c r="N157">
        <f>SmtRes!AB190</f>
        <v>31</v>
      </c>
      <c r="O157">
        <f>ROUND(ROUND(L157*Source!I299, 6)*SmtRes!DA190, 2)</f>
        <v>7.44</v>
      </c>
      <c r="P157">
        <f>SmtRes!AG190</f>
        <v>1.35</v>
      </c>
      <c r="Q157">
        <f>SmtRes!DC190</f>
        <v>6.48</v>
      </c>
      <c r="R157">
        <f>ROUND(ROUND(Q157*Source!I299, 6)*1, 2)</f>
        <v>0.32</v>
      </c>
      <c r="S157">
        <f>SmtRes!AC190</f>
        <v>1.35</v>
      </c>
      <c r="T157">
        <f>ROUND(ROUND(Q157*Source!I299, 6)*SmtRes!AK190, 2)</f>
        <v>0.32</v>
      </c>
      <c r="U157">
        <f>SmtRes!X190</f>
        <v>-204835879</v>
      </c>
      <c r="V157">
        <v>1844315211</v>
      </c>
      <c r="W157">
        <v>1844315211</v>
      </c>
      <c r="X157">
        <v>2</v>
      </c>
    </row>
    <row r="158" spans="1:24" x14ac:dyDescent="0.2">
      <c r="A158">
        <f>Source!A333</f>
        <v>5</v>
      </c>
      <c r="B158">
        <v>333</v>
      </c>
      <c r="G158" t="str">
        <f>Source!G333</f>
        <v>Строительные работы</v>
      </c>
    </row>
    <row r="159" spans="1:24" x14ac:dyDescent="0.2">
      <c r="A159">
        <v>20</v>
      </c>
      <c r="B159">
        <v>208</v>
      </c>
      <c r="C159">
        <v>3</v>
      </c>
      <c r="D159">
        <v>0</v>
      </c>
      <c r="E159">
        <f>SmtRes!AV208</f>
        <v>0</v>
      </c>
      <c r="F159" t="str">
        <f>SmtRes!I208</f>
        <v>21.3-3-19</v>
      </c>
      <c r="G159" t="str">
        <f>SmtRes!K208</f>
        <v>Смеси асфальтобетонные дорожные горячие мелкозернистые, марка II, тип В</v>
      </c>
      <c r="H159" t="str">
        <f>SmtRes!O208</f>
        <v>т</v>
      </c>
      <c r="I159">
        <f>SmtRes!Y208*Source!I337</f>
        <v>0.4632</v>
      </c>
      <c r="J159">
        <f>SmtRes!AO208</f>
        <v>1</v>
      </c>
      <c r="K159">
        <f>SmtRes!AE208</f>
        <v>2562.79</v>
      </c>
      <c r="L159">
        <f>SmtRes!DB208</f>
        <v>14838.55</v>
      </c>
      <c r="M159">
        <f>ROUND(ROUND(L159*Source!I337, 6)*1, 2)</f>
        <v>1187.08</v>
      </c>
      <c r="N159">
        <f>SmtRes!AA208</f>
        <v>2562.79</v>
      </c>
      <c r="O159">
        <f>ROUND(ROUND(L159*Source!I337, 6)*SmtRes!DA208, 2)</f>
        <v>1187.08</v>
      </c>
      <c r="P159">
        <f>SmtRes!AG208</f>
        <v>0</v>
      </c>
      <c r="Q159">
        <f>SmtRes!DC208</f>
        <v>0</v>
      </c>
      <c r="R159">
        <f>ROUND(ROUND(Q159*Source!I337, 6)*1, 2)</f>
        <v>0</v>
      </c>
      <c r="S159">
        <f>SmtRes!AC208</f>
        <v>0</v>
      </c>
      <c r="T159">
        <f>ROUND(ROUND(Q159*Source!I337, 6)*SmtRes!AK208, 2)</f>
        <v>0</v>
      </c>
      <c r="U159">
        <f>SmtRes!X208</f>
        <v>1103439754</v>
      </c>
      <c r="V159">
        <v>1846978656</v>
      </c>
      <c r="W159">
        <v>1846978656</v>
      </c>
      <c r="X159">
        <v>3</v>
      </c>
    </row>
    <row r="160" spans="1:24" x14ac:dyDescent="0.2">
      <c r="A160">
        <v>20</v>
      </c>
      <c r="B160">
        <v>207</v>
      </c>
      <c r="C160">
        <v>3</v>
      </c>
      <c r="D160">
        <v>0</v>
      </c>
      <c r="E160">
        <f>SmtRes!AV207</f>
        <v>0</v>
      </c>
      <c r="F160" t="str">
        <f>SmtRes!I207</f>
        <v>21.1-9-13</v>
      </c>
      <c r="G160" t="str">
        <f>SmtRes!K207</f>
        <v>Бруски хвойных пород обрезные, длина 2-6,5 м, сорт III, толщина 50-60 мм</v>
      </c>
      <c r="H160" t="str">
        <f>SmtRes!O207</f>
        <v>м3</v>
      </c>
      <c r="I160">
        <f>SmtRes!Y207*Source!I337</f>
        <v>8.0000000000000004E-4</v>
      </c>
      <c r="J160">
        <f>SmtRes!AO207</f>
        <v>1</v>
      </c>
      <c r="K160">
        <f>SmtRes!AE207</f>
        <v>7064.05</v>
      </c>
      <c r="L160">
        <f>SmtRes!DB207</f>
        <v>70.64</v>
      </c>
      <c r="M160">
        <f>ROUND(ROUND(L160*Source!I337, 6)*1, 2)</f>
        <v>5.65</v>
      </c>
      <c r="N160">
        <f>SmtRes!AA207</f>
        <v>7064.05</v>
      </c>
      <c r="O160">
        <f>ROUND(ROUND(L160*Source!I337, 6)*SmtRes!DA207, 2)</f>
        <v>5.65</v>
      </c>
      <c r="P160">
        <f>SmtRes!AG207</f>
        <v>0</v>
      </c>
      <c r="Q160">
        <f>SmtRes!DC207</f>
        <v>0</v>
      </c>
      <c r="R160">
        <f>ROUND(ROUND(Q160*Source!I337, 6)*1, 2)</f>
        <v>0</v>
      </c>
      <c r="S160">
        <f>SmtRes!AC207</f>
        <v>0</v>
      </c>
      <c r="T160">
        <f>ROUND(ROUND(Q160*Source!I337, 6)*SmtRes!AK207, 2)</f>
        <v>0</v>
      </c>
      <c r="U160">
        <f>SmtRes!X207</f>
        <v>-1674634845</v>
      </c>
      <c r="V160">
        <v>1332636129</v>
      </c>
      <c r="W160">
        <v>1332636129</v>
      </c>
      <c r="X160">
        <v>3</v>
      </c>
    </row>
    <row r="161" spans="1:24" x14ac:dyDescent="0.2">
      <c r="A161">
        <v>20</v>
      </c>
      <c r="B161">
        <v>206</v>
      </c>
      <c r="C161">
        <v>3</v>
      </c>
      <c r="D161">
        <v>0</v>
      </c>
      <c r="E161">
        <f>SmtRes!AV206</f>
        <v>0</v>
      </c>
      <c r="F161" t="str">
        <f>SmtRes!I206</f>
        <v>21.1-1-27</v>
      </c>
      <c r="G161" t="str">
        <f>SmtRes!K206</f>
        <v>Мастика герметизирующая нетвердеющая, строительная, марка "Праймер"</v>
      </c>
      <c r="H161" t="str">
        <f>SmtRes!O206</f>
        <v>т</v>
      </c>
      <c r="I161">
        <f>SmtRes!Y206*Source!I337</f>
        <v>5.5200000000000006E-3</v>
      </c>
      <c r="J161">
        <f>SmtRes!AO206</f>
        <v>1</v>
      </c>
      <c r="K161">
        <f>SmtRes!AE206</f>
        <v>36258.75</v>
      </c>
      <c r="L161">
        <f>SmtRes!DB206</f>
        <v>2501.85</v>
      </c>
      <c r="M161">
        <f>ROUND(ROUND(L161*Source!I337, 6)*1, 2)</f>
        <v>200.15</v>
      </c>
      <c r="N161">
        <f>SmtRes!AA206</f>
        <v>36258.75</v>
      </c>
      <c r="O161">
        <f>ROUND(ROUND(L161*Source!I337, 6)*SmtRes!DA206, 2)</f>
        <v>200.15</v>
      </c>
      <c r="P161">
        <f>SmtRes!AG206</f>
        <v>0</v>
      </c>
      <c r="Q161">
        <f>SmtRes!DC206</f>
        <v>0</v>
      </c>
      <c r="R161">
        <f>ROUND(ROUND(Q161*Source!I337, 6)*1, 2)</f>
        <v>0</v>
      </c>
      <c r="S161">
        <f>SmtRes!AC206</f>
        <v>0</v>
      </c>
      <c r="T161">
        <f>ROUND(ROUND(Q161*Source!I337, 6)*SmtRes!AK206, 2)</f>
        <v>0</v>
      </c>
      <c r="U161">
        <f>SmtRes!X206</f>
        <v>1123680579</v>
      </c>
      <c r="V161">
        <v>1595178378</v>
      </c>
      <c r="W161">
        <v>1595178378</v>
      </c>
      <c r="X161">
        <v>3</v>
      </c>
    </row>
    <row r="162" spans="1:24" x14ac:dyDescent="0.2">
      <c r="A162">
        <v>20</v>
      </c>
      <c r="B162">
        <v>205</v>
      </c>
      <c r="C162">
        <v>2</v>
      </c>
      <c r="D162">
        <v>0</v>
      </c>
      <c r="E162">
        <f>SmtRes!AV205</f>
        <v>0</v>
      </c>
      <c r="F162" t="str">
        <f>SmtRes!I205</f>
        <v>22.1-30-1</v>
      </c>
      <c r="G162" t="str">
        <f>SmtRes!K205</f>
        <v>Трамбовки пневматические</v>
      </c>
      <c r="H162" t="str">
        <f>SmtRes!O205</f>
        <v>маш.-ч</v>
      </c>
      <c r="I162">
        <f>SmtRes!Y205*Source!I337</f>
        <v>8.6400000000000005E-2</v>
      </c>
      <c r="J162">
        <f>SmtRes!AO205</f>
        <v>1</v>
      </c>
      <c r="K162">
        <f>SmtRes!AF205</f>
        <v>3.75</v>
      </c>
      <c r="L162">
        <f>SmtRes!DB205</f>
        <v>4.05</v>
      </c>
      <c r="M162">
        <f>ROUND(ROUND(L162*Source!I337, 6)*1, 2)</f>
        <v>0.32</v>
      </c>
      <c r="N162">
        <f>SmtRes!AB205</f>
        <v>3.75</v>
      </c>
      <c r="O162">
        <f>ROUND(ROUND(L162*Source!I337, 6)*SmtRes!DA205, 2)</f>
        <v>0.32</v>
      </c>
      <c r="P162">
        <f>SmtRes!AG205</f>
        <v>2.56</v>
      </c>
      <c r="Q162">
        <f>SmtRes!DC205</f>
        <v>2.76</v>
      </c>
      <c r="R162">
        <f>ROUND(ROUND(Q162*Source!I337, 6)*1, 2)</f>
        <v>0.22</v>
      </c>
      <c r="S162">
        <f>SmtRes!AC205</f>
        <v>2.56</v>
      </c>
      <c r="T162">
        <f>ROUND(ROUND(Q162*Source!I337, 6)*SmtRes!AK205, 2)</f>
        <v>0.22</v>
      </c>
      <c r="U162">
        <f>SmtRes!X205</f>
        <v>-1383996176</v>
      </c>
      <c r="V162">
        <v>456524966</v>
      </c>
      <c r="W162">
        <v>456524966</v>
      </c>
      <c r="X162">
        <v>2</v>
      </c>
    </row>
    <row r="163" spans="1:24" x14ac:dyDescent="0.2">
      <c r="A163">
        <v>20</v>
      </c>
      <c r="B163">
        <v>204</v>
      </c>
      <c r="C163">
        <v>2</v>
      </c>
      <c r="D163">
        <v>0</v>
      </c>
      <c r="E163">
        <f>SmtRes!AV204</f>
        <v>0</v>
      </c>
      <c r="F163" t="str">
        <f>SmtRes!I204</f>
        <v>22.1-14-6</v>
      </c>
      <c r="G163" t="str">
        <f>SmtRes!K204</f>
        <v>Агрегаты для подачи грунтовки</v>
      </c>
      <c r="H163" t="str">
        <f>SmtRes!O204</f>
        <v>маш.-ч</v>
      </c>
      <c r="I163">
        <f>SmtRes!Y204*Source!I337</f>
        <v>6.480000000000001E-2</v>
      </c>
      <c r="J163">
        <f>SmtRes!AO204</f>
        <v>1</v>
      </c>
      <c r="K163">
        <f>SmtRes!AF204</f>
        <v>1977.07</v>
      </c>
      <c r="L163">
        <f>SmtRes!DB204</f>
        <v>1601.43</v>
      </c>
      <c r="M163">
        <f>ROUND(ROUND(L163*Source!I337, 6)*1, 2)</f>
        <v>128.11000000000001</v>
      </c>
      <c r="N163">
        <f>SmtRes!AB204</f>
        <v>1977.07</v>
      </c>
      <c r="O163">
        <f>ROUND(ROUND(L163*Source!I337, 6)*SmtRes!DA204, 2)</f>
        <v>128.11000000000001</v>
      </c>
      <c r="P163">
        <f>SmtRes!AG204</f>
        <v>1200.6500000000001</v>
      </c>
      <c r="Q163">
        <f>SmtRes!DC204</f>
        <v>972.53</v>
      </c>
      <c r="R163">
        <f>ROUND(ROUND(Q163*Source!I337, 6)*1, 2)</f>
        <v>77.8</v>
      </c>
      <c r="S163">
        <f>SmtRes!AC204</f>
        <v>1200.6500000000001</v>
      </c>
      <c r="T163">
        <f>ROUND(ROUND(Q163*Source!I337, 6)*SmtRes!AK204, 2)</f>
        <v>77.8</v>
      </c>
      <c r="U163">
        <f>SmtRes!X204</f>
        <v>831329057</v>
      </c>
      <c r="V163">
        <v>1723114365</v>
      </c>
      <c r="W163">
        <v>1723114365</v>
      </c>
      <c r="X163">
        <v>2</v>
      </c>
    </row>
    <row r="164" spans="1:24" x14ac:dyDescent="0.2">
      <c r="A164">
        <v>20</v>
      </c>
      <c r="B164">
        <v>203</v>
      </c>
      <c r="C164">
        <v>2</v>
      </c>
      <c r="D164">
        <v>0</v>
      </c>
      <c r="E164">
        <f>SmtRes!AV203</f>
        <v>0</v>
      </c>
      <c r="F164" t="str">
        <f>SmtRes!I203</f>
        <v>22.1-10-5</v>
      </c>
      <c r="G164" t="str">
        <f>SmtRes!K203</f>
        <v>Компрессоры с дизельным двигателем прицепные до 5 м3/мин</v>
      </c>
      <c r="H164" t="str">
        <f>SmtRes!O203</f>
        <v>маш.-ч</v>
      </c>
      <c r="I164">
        <f>SmtRes!Y203*Source!I337</f>
        <v>4.4000000000000004E-2</v>
      </c>
      <c r="J164">
        <f>SmtRes!AO203</f>
        <v>1</v>
      </c>
      <c r="K164">
        <f>SmtRes!AF203</f>
        <v>744.2</v>
      </c>
      <c r="L164">
        <f>SmtRes!DB203</f>
        <v>409.31</v>
      </c>
      <c r="M164">
        <f>ROUND(ROUND(L164*Source!I337, 6)*1, 2)</f>
        <v>32.74</v>
      </c>
      <c r="N164">
        <f>SmtRes!AB203</f>
        <v>744.2</v>
      </c>
      <c r="O164">
        <f>ROUND(ROUND(L164*Source!I337, 6)*SmtRes!DA203, 2)</f>
        <v>32.74</v>
      </c>
      <c r="P164">
        <f>SmtRes!AG203</f>
        <v>423.17</v>
      </c>
      <c r="Q164">
        <f>SmtRes!DC203</f>
        <v>232.74</v>
      </c>
      <c r="R164">
        <f>ROUND(ROUND(Q164*Source!I337, 6)*1, 2)</f>
        <v>18.62</v>
      </c>
      <c r="S164">
        <f>SmtRes!AC203</f>
        <v>423.17</v>
      </c>
      <c r="T164">
        <f>ROUND(ROUND(Q164*Source!I337, 6)*SmtRes!AK203, 2)</f>
        <v>18.62</v>
      </c>
      <c r="U164">
        <f>SmtRes!X203</f>
        <v>734322642</v>
      </c>
      <c r="V164">
        <v>158304140</v>
      </c>
      <c r="W164">
        <v>158304140</v>
      </c>
      <c r="X164">
        <v>2</v>
      </c>
    </row>
    <row r="165" spans="1:24" x14ac:dyDescent="0.2">
      <c r="A165">
        <v>20</v>
      </c>
      <c r="B165">
        <v>212</v>
      </c>
      <c r="C165">
        <v>3</v>
      </c>
      <c r="D165">
        <v>0</v>
      </c>
      <c r="E165">
        <f>SmtRes!AV212</f>
        <v>0</v>
      </c>
      <c r="F165" t="str">
        <f>SmtRes!I212</f>
        <v>21.3-3-19</v>
      </c>
      <c r="G165" t="str">
        <f>SmtRes!K212</f>
        <v>Смеси асфальтобетонные дорожные горячие мелкозернистые, марка II, тип В</v>
      </c>
      <c r="H165" t="str">
        <f>SmtRes!O212</f>
        <v>т</v>
      </c>
      <c r="I165">
        <f>SmtRes!Y212*Source!I338</f>
        <v>9.2799999999999994E-2</v>
      </c>
      <c r="J165">
        <f>SmtRes!AO212</f>
        <v>1</v>
      </c>
      <c r="K165">
        <f>SmtRes!AE212</f>
        <v>2562.79</v>
      </c>
      <c r="L165">
        <f>SmtRes!DB212</f>
        <v>2972.84</v>
      </c>
      <c r="M165">
        <f>ROUND(ROUND(L165*Source!I338, 6)*1, 2)</f>
        <v>237.83</v>
      </c>
      <c r="N165">
        <f>SmtRes!AA212</f>
        <v>2562.79</v>
      </c>
      <c r="O165">
        <f>ROUND(ROUND(L165*Source!I338, 6)*SmtRes!DA212, 2)</f>
        <v>237.83</v>
      </c>
      <c r="P165">
        <f>SmtRes!AG212</f>
        <v>0</v>
      </c>
      <c r="Q165">
        <f>SmtRes!DC212</f>
        <v>0</v>
      </c>
      <c r="R165">
        <f>ROUND(ROUND(Q165*Source!I338, 6)*1, 2)</f>
        <v>0</v>
      </c>
      <c r="S165">
        <f>SmtRes!AC212</f>
        <v>0</v>
      </c>
      <c r="T165">
        <f>ROUND(ROUND(Q165*Source!I338, 6)*SmtRes!AK212, 2)</f>
        <v>0</v>
      </c>
      <c r="U165">
        <f>SmtRes!X212</f>
        <v>1103439754</v>
      </c>
      <c r="V165">
        <v>1846978656</v>
      </c>
      <c r="W165">
        <v>1846978656</v>
      </c>
      <c r="X165">
        <v>3</v>
      </c>
    </row>
    <row r="166" spans="1:24" x14ac:dyDescent="0.2">
      <c r="A166">
        <v>20</v>
      </c>
      <c r="B166">
        <v>211</v>
      </c>
      <c r="C166">
        <v>2</v>
      </c>
      <c r="D166">
        <v>0</v>
      </c>
      <c r="E166">
        <f>SmtRes!AV211</f>
        <v>0</v>
      </c>
      <c r="F166" t="str">
        <f>SmtRes!I211</f>
        <v>22.1-30-1</v>
      </c>
      <c r="G166" t="str">
        <f>SmtRes!K211</f>
        <v>Трамбовки пневматические</v>
      </c>
      <c r="H166" t="str">
        <f>SmtRes!O211</f>
        <v>маш.-ч</v>
      </c>
      <c r="I166">
        <f>SmtRes!Y211*Source!I338</f>
        <v>2.2400000000000003E-2</v>
      </c>
      <c r="J166">
        <f>SmtRes!AO211</f>
        <v>1</v>
      </c>
      <c r="K166">
        <f>SmtRes!AF211</f>
        <v>3.75</v>
      </c>
      <c r="L166">
        <f>SmtRes!DB211</f>
        <v>1.05</v>
      </c>
      <c r="M166">
        <f>ROUND(ROUND(L166*Source!I338, 6)*1, 2)</f>
        <v>0.08</v>
      </c>
      <c r="N166">
        <f>SmtRes!AB211</f>
        <v>3.75</v>
      </c>
      <c r="O166">
        <f>ROUND(ROUND(L166*Source!I338, 6)*SmtRes!DA211, 2)</f>
        <v>0.08</v>
      </c>
      <c r="P166">
        <f>SmtRes!AG211</f>
        <v>2.56</v>
      </c>
      <c r="Q166">
        <f>SmtRes!DC211</f>
        <v>0.72</v>
      </c>
      <c r="R166">
        <f>ROUND(ROUND(Q166*Source!I338, 6)*1, 2)</f>
        <v>0.06</v>
      </c>
      <c r="S166">
        <f>SmtRes!AC211</f>
        <v>2.56</v>
      </c>
      <c r="T166">
        <f>ROUND(ROUND(Q166*Source!I338, 6)*SmtRes!AK211, 2)</f>
        <v>0.06</v>
      </c>
      <c r="U166">
        <f>SmtRes!X211</f>
        <v>-1383996176</v>
      </c>
      <c r="V166">
        <v>456524966</v>
      </c>
      <c r="W166">
        <v>456524966</v>
      </c>
      <c r="X166">
        <v>2</v>
      </c>
    </row>
    <row r="167" spans="1:24" x14ac:dyDescent="0.2">
      <c r="A167">
        <v>20</v>
      </c>
      <c r="B167">
        <v>210</v>
      </c>
      <c r="C167">
        <v>2</v>
      </c>
      <c r="D167">
        <v>0</v>
      </c>
      <c r="E167">
        <f>SmtRes!AV210</f>
        <v>0</v>
      </c>
      <c r="F167" t="str">
        <f>SmtRes!I210</f>
        <v>22.1-10-5</v>
      </c>
      <c r="G167" t="str">
        <f>SmtRes!K210</f>
        <v>Компрессоры с дизельным двигателем прицепные до 5 м3/мин</v>
      </c>
      <c r="H167" t="str">
        <f>SmtRes!O210</f>
        <v>маш.-ч</v>
      </c>
      <c r="I167">
        <f>SmtRes!Y210*Source!I338</f>
        <v>1.1200000000000002E-2</v>
      </c>
      <c r="J167">
        <f>SmtRes!AO210</f>
        <v>1</v>
      </c>
      <c r="K167">
        <f>SmtRes!AF210</f>
        <v>744.2</v>
      </c>
      <c r="L167">
        <f>SmtRes!DB210</f>
        <v>104.19</v>
      </c>
      <c r="M167">
        <f>ROUND(ROUND(L167*Source!I338, 6)*1, 2)</f>
        <v>8.34</v>
      </c>
      <c r="N167">
        <f>SmtRes!AB210</f>
        <v>744.2</v>
      </c>
      <c r="O167">
        <f>ROUND(ROUND(L167*Source!I338, 6)*SmtRes!DA210, 2)</f>
        <v>8.34</v>
      </c>
      <c r="P167">
        <f>SmtRes!AG210</f>
        <v>423.17</v>
      </c>
      <c r="Q167">
        <f>SmtRes!DC210</f>
        <v>59.24</v>
      </c>
      <c r="R167">
        <f>ROUND(ROUND(Q167*Source!I338, 6)*1, 2)</f>
        <v>4.74</v>
      </c>
      <c r="S167">
        <f>SmtRes!AC210</f>
        <v>423.17</v>
      </c>
      <c r="T167">
        <f>ROUND(ROUND(Q167*Source!I338, 6)*SmtRes!AK210, 2)</f>
        <v>4.74</v>
      </c>
      <c r="U167">
        <f>SmtRes!X210</f>
        <v>734322642</v>
      </c>
      <c r="V167">
        <v>158304140</v>
      </c>
      <c r="W167">
        <v>158304140</v>
      </c>
      <c r="X167">
        <v>2</v>
      </c>
    </row>
    <row r="168" spans="1:24" x14ac:dyDescent="0.2">
      <c r="A168">
        <v>20</v>
      </c>
      <c r="B168">
        <v>217</v>
      </c>
      <c r="C168">
        <v>3</v>
      </c>
      <c r="D168">
        <v>0</v>
      </c>
      <c r="E168">
        <f>SmtRes!AV217</f>
        <v>0</v>
      </c>
      <c r="F168" t="str">
        <f>SmtRes!I217</f>
        <v>21.6-1-52</v>
      </c>
      <c r="G168" t="str">
        <f>SmtRes!K217</f>
        <v>Отдельные конструктивные элементы с преобладанием горячекатаных профилей, средняя масса сборочной единицы от 0,51 до 1,0 т</v>
      </c>
      <c r="H168" t="str">
        <f>SmtRes!O217</f>
        <v>т</v>
      </c>
      <c r="I168">
        <f>SmtRes!Y217*Source!I339</f>
        <v>0.4</v>
      </c>
      <c r="J168">
        <f>SmtRes!AO217</f>
        <v>1</v>
      </c>
      <c r="K168">
        <f>SmtRes!AE217</f>
        <v>75026.559999999998</v>
      </c>
      <c r="L168">
        <f>SmtRes!DB217</f>
        <v>75026.559999999998</v>
      </c>
      <c r="M168">
        <f>ROUND(ROUND(L168*Source!I339, 6)*1, 2)</f>
        <v>30010.62</v>
      </c>
      <c r="N168">
        <f>SmtRes!AA217</f>
        <v>75026.559999999998</v>
      </c>
      <c r="O168">
        <f>ROUND(ROUND(L168*Source!I339, 6)*SmtRes!DA217, 2)</f>
        <v>30010.62</v>
      </c>
      <c r="P168">
        <f>SmtRes!AG217</f>
        <v>0</v>
      </c>
      <c r="Q168">
        <f>SmtRes!DC217</f>
        <v>0</v>
      </c>
      <c r="R168">
        <f>ROUND(ROUND(Q168*Source!I339, 6)*1, 2)</f>
        <v>0</v>
      </c>
      <c r="S168">
        <f>SmtRes!AC217</f>
        <v>0</v>
      </c>
      <c r="T168">
        <f>ROUND(ROUND(Q168*Source!I339, 6)*SmtRes!AK217, 2)</f>
        <v>0</v>
      </c>
      <c r="U168">
        <f>SmtRes!X217</f>
        <v>485376408</v>
      </c>
      <c r="V168">
        <v>-1688827510</v>
      </c>
      <c r="W168">
        <v>-1688827510</v>
      </c>
      <c r="X168">
        <v>3</v>
      </c>
    </row>
    <row r="169" spans="1:24" x14ac:dyDescent="0.2">
      <c r="A169">
        <v>20</v>
      </c>
      <c r="B169">
        <v>216</v>
      </c>
      <c r="C169">
        <v>3</v>
      </c>
      <c r="D169">
        <v>0</v>
      </c>
      <c r="E169">
        <f>SmtRes!AV216</f>
        <v>0</v>
      </c>
      <c r="F169" t="str">
        <f>SmtRes!I216</f>
        <v>21.1-23-9</v>
      </c>
      <c r="G169" t="str">
        <f>SmtRes!K216</f>
        <v>Электроды, тип Э-42, 46, 50, диаметр 4 - 6 мм</v>
      </c>
      <c r="H169" t="str">
        <f>SmtRes!O216</f>
        <v>т</v>
      </c>
      <c r="I169">
        <f>SmtRes!Y216*Source!I339</f>
        <v>5.6000000000000006E-4</v>
      </c>
      <c r="J169">
        <f>SmtRes!AO216</f>
        <v>1</v>
      </c>
      <c r="K169">
        <f>SmtRes!AE216</f>
        <v>110781.14</v>
      </c>
      <c r="L169">
        <f>SmtRes!DB216</f>
        <v>155.09</v>
      </c>
      <c r="M169">
        <f>ROUND(ROUND(L169*Source!I339, 6)*1, 2)</f>
        <v>62.04</v>
      </c>
      <c r="N169">
        <f>SmtRes!AA216</f>
        <v>110781.14</v>
      </c>
      <c r="O169">
        <f>ROUND(ROUND(L169*Source!I339, 6)*SmtRes!DA216, 2)</f>
        <v>62.04</v>
      </c>
      <c r="P169">
        <f>SmtRes!AG216</f>
        <v>0</v>
      </c>
      <c r="Q169">
        <f>SmtRes!DC216</f>
        <v>0</v>
      </c>
      <c r="R169">
        <f>ROUND(ROUND(Q169*Source!I339, 6)*1, 2)</f>
        <v>0</v>
      </c>
      <c r="S169">
        <f>SmtRes!AC216</f>
        <v>0</v>
      </c>
      <c r="T169">
        <f>ROUND(ROUND(Q169*Source!I339, 6)*SmtRes!AK216, 2)</f>
        <v>0</v>
      </c>
      <c r="U169">
        <f>SmtRes!X216</f>
        <v>-941081254</v>
      </c>
      <c r="V169">
        <v>1991017595</v>
      </c>
      <c r="W169">
        <v>1991017595</v>
      </c>
      <c r="X169">
        <v>3</v>
      </c>
    </row>
    <row r="170" spans="1:24" x14ac:dyDescent="0.2">
      <c r="A170">
        <v>20</v>
      </c>
      <c r="B170">
        <v>215</v>
      </c>
      <c r="C170">
        <v>3</v>
      </c>
      <c r="D170">
        <v>0</v>
      </c>
      <c r="E170">
        <f>SmtRes!AV215</f>
        <v>0</v>
      </c>
      <c r="F170" t="str">
        <f>SmtRes!I215</f>
        <v>21.1-11-21</v>
      </c>
      <c r="G170" t="str">
        <f>SmtRes!K215</f>
        <v>Болты строительные черные с гайками и шайбами (10х100мм)</v>
      </c>
      <c r="H170" t="str">
        <f>SmtRes!O215</f>
        <v>т</v>
      </c>
      <c r="I170">
        <f>SmtRes!Y215*Source!I339</f>
        <v>1.32E-3</v>
      </c>
      <c r="J170">
        <f>SmtRes!AO215</f>
        <v>1</v>
      </c>
      <c r="K170">
        <f>SmtRes!AE215</f>
        <v>105084.63</v>
      </c>
      <c r="L170">
        <f>SmtRes!DB215</f>
        <v>346.78</v>
      </c>
      <c r="M170">
        <f>ROUND(ROUND(L170*Source!I339, 6)*1, 2)</f>
        <v>138.71</v>
      </c>
      <c r="N170">
        <f>SmtRes!AA215</f>
        <v>105084.63</v>
      </c>
      <c r="O170">
        <f>ROUND(ROUND(L170*Source!I339, 6)*SmtRes!DA215, 2)</f>
        <v>138.71</v>
      </c>
      <c r="P170">
        <f>SmtRes!AG215</f>
        <v>0</v>
      </c>
      <c r="Q170">
        <f>SmtRes!DC215</f>
        <v>0</v>
      </c>
      <c r="R170">
        <f>ROUND(ROUND(Q170*Source!I339, 6)*1, 2)</f>
        <v>0</v>
      </c>
      <c r="S170">
        <f>SmtRes!AC215</f>
        <v>0</v>
      </c>
      <c r="T170">
        <f>ROUND(ROUND(Q170*Source!I339, 6)*SmtRes!AK215, 2)</f>
        <v>0</v>
      </c>
      <c r="U170">
        <f>SmtRes!X215</f>
        <v>-1356276541</v>
      </c>
      <c r="V170">
        <v>442495294</v>
      </c>
      <c r="W170">
        <v>442495294</v>
      </c>
      <c r="X170">
        <v>3</v>
      </c>
    </row>
    <row r="171" spans="1:24" x14ac:dyDescent="0.2">
      <c r="A171">
        <v>20</v>
      </c>
      <c r="B171">
        <v>214</v>
      </c>
      <c r="C171">
        <v>2</v>
      </c>
      <c r="D171">
        <v>0</v>
      </c>
      <c r="E171">
        <f>SmtRes!AV214</f>
        <v>0</v>
      </c>
      <c r="F171" t="str">
        <f>SmtRes!I214</f>
        <v>22.1-4-31</v>
      </c>
      <c r="G171" t="str">
        <f>SmtRes!K214</f>
        <v>Лебедки электрические, грузоподъемность до 1,5 т</v>
      </c>
      <c r="H171" t="str">
        <f>SmtRes!O214</f>
        <v>маш.-ч</v>
      </c>
      <c r="I171">
        <f>SmtRes!Y214*Source!I339</f>
        <v>7.6000000000000005</v>
      </c>
      <c r="J171">
        <f>SmtRes!AO214</f>
        <v>1</v>
      </c>
      <c r="K171">
        <f>SmtRes!AF214</f>
        <v>31</v>
      </c>
      <c r="L171">
        <f>SmtRes!DB214</f>
        <v>589</v>
      </c>
      <c r="M171">
        <f>ROUND(ROUND(L171*Source!I339, 6)*1, 2)</f>
        <v>235.6</v>
      </c>
      <c r="N171">
        <f>SmtRes!AB214</f>
        <v>31</v>
      </c>
      <c r="O171">
        <f>ROUND(ROUND(L171*Source!I339, 6)*SmtRes!DA214, 2)</f>
        <v>235.6</v>
      </c>
      <c r="P171">
        <f>SmtRes!AG214</f>
        <v>1.35</v>
      </c>
      <c r="Q171">
        <f>SmtRes!DC214</f>
        <v>25.65</v>
      </c>
      <c r="R171">
        <f>ROUND(ROUND(Q171*Source!I339, 6)*1, 2)</f>
        <v>10.26</v>
      </c>
      <c r="S171">
        <f>SmtRes!AC214</f>
        <v>1.35</v>
      </c>
      <c r="T171">
        <f>ROUND(ROUND(Q171*Source!I339, 6)*SmtRes!AK214, 2)</f>
        <v>10.26</v>
      </c>
      <c r="U171">
        <f>SmtRes!X214</f>
        <v>-204835879</v>
      </c>
      <c r="V171">
        <v>1844315211</v>
      </c>
      <c r="W171">
        <v>1844315211</v>
      </c>
      <c r="X171">
        <v>2</v>
      </c>
    </row>
    <row r="172" spans="1:24" x14ac:dyDescent="0.2">
      <c r="A172">
        <f>Source!A340</f>
        <v>18</v>
      </c>
      <c r="B172">
        <v>340</v>
      </c>
      <c r="C172">
        <v>3</v>
      </c>
      <c r="D172">
        <f>Source!BI340</f>
        <v>4</v>
      </c>
      <c r="E172">
        <f>Source!FS340</f>
        <v>0</v>
      </c>
      <c r="F172" t="str">
        <f>Source!F340</f>
        <v>Цена поставщика</v>
      </c>
      <c r="G172" t="str">
        <f>Source!G340</f>
        <v>Контейнерная площадка на 3 контейнера (с дверьми)</v>
      </c>
      <c r="H172" t="str">
        <f>Source!H340</f>
        <v>шт.</v>
      </c>
      <c r="I172">
        <f>Source!I340</f>
        <v>0.35936600000000002</v>
      </c>
      <c r="J172">
        <v>1</v>
      </c>
      <c r="K172">
        <f>Source!AC340</f>
        <v>35285</v>
      </c>
      <c r="M172">
        <f>ROUND(K172*I172, 2)</f>
        <v>12680.23</v>
      </c>
      <c r="N172">
        <f>Source!AC340*IF(Source!BC340&lt;&gt; 0, Source!BC340, 1)</f>
        <v>35285</v>
      </c>
      <c r="O172">
        <f>ROUND(N172*I172, 2)</f>
        <v>12680.23</v>
      </c>
      <c r="P172">
        <f>Source!AE340</f>
        <v>0</v>
      </c>
      <c r="R172">
        <f>ROUND(P172*I172, 2)</f>
        <v>0</v>
      </c>
      <c r="S172">
        <f>Source!AE340*IF(Source!BS340&lt;&gt; 0, Source!BS340, 1)</f>
        <v>0</v>
      </c>
      <c r="T172">
        <f>ROUND(S172*I172, 2)</f>
        <v>0</v>
      </c>
      <c r="U172">
        <f>Source!GF340</f>
        <v>1996869071</v>
      </c>
      <c r="V172">
        <v>-1628661758</v>
      </c>
      <c r="W172">
        <v>-1628661758</v>
      </c>
      <c r="X172">
        <v>3</v>
      </c>
    </row>
    <row r="173" spans="1:24" x14ac:dyDescent="0.2">
      <c r="A173">
        <f>Source!A402</f>
        <v>4</v>
      </c>
      <c r="B173">
        <v>402</v>
      </c>
      <c r="G173" t="str">
        <f>Source!G402</f>
        <v>Дорожки до веранд</v>
      </c>
    </row>
    <row r="174" spans="1:24" x14ac:dyDescent="0.2">
      <c r="A174">
        <f>Source!A406</f>
        <v>5</v>
      </c>
      <c r="B174">
        <v>406</v>
      </c>
      <c r="G174" t="str">
        <f>Source!G406</f>
        <v>Строительные работы</v>
      </c>
    </row>
    <row r="175" spans="1:24" x14ac:dyDescent="0.2">
      <c r="A175">
        <v>20</v>
      </c>
      <c r="B175">
        <v>222</v>
      </c>
      <c r="C175">
        <v>2</v>
      </c>
      <c r="D175">
        <v>0</v>
      </c>
      <c r="E175">
        <f>SmtRes!AV222</f>
        <v>0</v>
      </c>
      <c r="F175" t="str">
        <f>SmtRes!I222</f>
        <v>22.1-30-1</v>
      </c>
      <c r="G175" t="str">
        <f>SmtRes!K222</f>
        <v>Трамбовки пневматические</v>
      </c>
      <c r="H175" t="str">
        <f>SmtRes!O222</f>
        <v>маш.-ч</v>
      </c>
      <c r="I175">
        <f>SmtRes!Y222*Source!I411</f>
        <v>1.4208959999999999</v>
      </c>
      <c r="J175">
        <f>SmtRes!AO222</f>
        <v>1</v>
      </c>
      <c r="K175">
        <f>SmtRes!AF222</f>
        <v>3.75</v>
      </c>
      <c r="L175">
        <f>SmtRes!DB222</f>
        <v>49.2</v>
      </c>
      <c r="M175">
        <f>ROUND(ROUND(L175*Source!I411, 6)*1, 2)</f>
        <v>5.33</v>
      </c>
      <c r="N175">
        <f>SmtRes!AB222</f>
        <v>3.75</v>
      </c>
      <c r="O175">
        <f>ROUND(ROUND(L175*Source!I411, 6)*SmtRes!DA222, 2)</f>
        <v>5.33</v>
      </c>
      <c r="P175">
        <f>SmtRes!AG222</f>
        <v>2.56</v>
      </c>
      <c r="Q175">
        <f>SmtRes!DC222</f>
        <v>33.590000000000003</v>
      </c>
      <c r="R175">
        <f>ROUND(ROUND(Q175*Source!I411, 6)*1, 2)</f>
        <v>3.64</v>
      </c>
      <c r="S175">
        <f>SmtRes!AC222</f>
        <v>2.56</v>
      </c>
      <c r="T175">
        <f>ROUND(ROUND(Q175*Source!I411, 6)*SmtRes!AK222, 2)</f>
        <v>3.64</v>
      </c>
      <c r="U175">
        <f>SmtRes!X222</f>
        <v>-1383996176</v>
      </c>
      <c r="V175">
        <v>456524966</v>
      </c>
      <c r="W175">
        <v>456524966</v>
      </c>
      <c r="X175">
        <v>2</v>
      </c>
    </row>
    <row r="176" spans="1:24" x14ac:dyDescent="0.2">
      <c r="A176">
        <v>20</v>
      </c>
      <c r="B176">
        <v>221</v>
      </c>
      <c r="C176">
        <v>2</v>
      </c>
      <c r="D176">
        <v>0</v>
      </c>
      <c r="E176">
        <f>SmtRes!AV221</f>
        <v>0</v>
      </c>
      <c r="F176" t="str">
        <f>SmtRes!I221</f>
        <v>22.1-10-5</v>
      </c>
      <c r="G176" t="str">
        <f>SmtRes!K221</f>
        <v>Компрессоры с дизельным двигателем прицепные до 5 м3/мин</v>
      </c>
      <c r="H176" t="str">
        <f>SmtRes!O221</f>
        <v>маш.-ч</v>
      </c>
      <c r="I176">
        <f>SmtRes!Y221*Source!I411</f>
        <v>1.4208959999999999</v>
      </c>
      <c r="J176">
        <f>SmtRes!AO221</f>
        <v>1</v>
      </c>
      <c r="K176">
        <f>SmtRes!AF221</f>
        <v>744.2</v>
      </c>
      <c r="L176">
        <f>SmtRes!DB221</f>
        <v>9763.9</v>
      </c>
      <c r="M176">
        <f>ROUND(ROUND(L176*Source!I411, 6)*1, 2)</f>
        <v>1057.43</v>
      </c>
      <c r="N176">
        <f>SmtRes!AB221</f>
        <v>744.2</v>
      </c>
      <c r="O176">
        <f>ROUND(ROUND(L176*Source!I411, 6)*SmtRes!DA221, 2)</f>
        <v>1057.43</v>
      </c>
      <c r="P176">
        <f>SmtRes!AG221</f>
        <v>423.17</v>
      </c>
      <c r="Q176">
        <f>SmtRes!DC221</f>
        <v>5551.99</v>
      </c>
      <c r="R176">
        <f>ROUND(ROUND(Q176*Source!I411, 6)*1, 2)</f>
        <v>601.28</v>
      </c>
      <c r="S176">
        <f>SmtRes!AC221</f>
        <v>423.17</v>
      </c>
      <c r="T176">
        <f>ROUND(ROUND(Q176*Source!I411, 6)*SmtRes!AK221, 2)</f>
        <v>601.28</v>
      </c>
      <c r="U176">
        <f>SmtRes!X221</f>
        <v>734322642</v>
      </c>
      <c r="V176">
        <v>158304140</v>
      </c>
      <c r="W176">
        <v>158304140</v>
      </c>
      <c r="X176">
        <v>2</v>
      </c>
    </row>
    <row r="177" spans="1:24" x14ac:dyDescent="0.2">
      <c r="A177">
        <v>20</v>
      </c>
      <c r="B177">
        <v>226</v>
      </c>
      <c r="C177">
        <v>3</v>
      </c>
      <c r="D177">
        <v>0</v>
      </c>
      <c r="E177">
        <f>SmtRes!AV226</f>
        <v>0</v>
      </c>
      <c r="F177" t="str">
        <f>SmtRes!I226</f>
        <v>21.1-12-11</v>
      </c>
      <c r="G177" t="str">
        <f>SmtRes!K226</f>
        <v>Песок для строительных работ, рядовой</v>
      </c>
      <c r="H177" t="str">
        <f>SmtRes!O226</f>
        <v>м3</v>
      </c>
      <c r="I177">
        <f>SmtRes!Y226*Source!I412</f>
        <v>9.7104000000000017</v>
      </c>
      <c r="J177">
        <f>SmtRes!AO226</f>
        <v>1</v>
      </c>
      <c r="K177">
        <f>SmtRes!AE226</f>
        <v>590.78</v>
      </c>
      <c r="L177">
        <f>SmtRes!DB226</f>
        <v>661.67</v>
      </c>
      <c r="M177">
        <f>ROUND(ROUND(L177*Source!I412, 6)*1, 2)</f>
        <v>5736.68</v>
      </c>
      <c r="N177">
        <f>SmtRes!AA226</f>
        <v>590.78</v>
      </c>
      <c r="O177">
        <f>ROUND(ROUND(L177*Source!I412, 6)*SmtRes!DA226, 2)</f>
        <v>5736.68</v>
      </c>
      <c r="P177">
        <f>SmtRes!AG226</f>
        <v>0</v>
      </c>
      <c r="Q177">
        <f>SmtRes!DC226</f>
        <v>0</v>
      </c>
      <c r="R177">
        <f>ROUND(ROUND(Q177*Source!I412, 6)*1, 2)</f>
        <v>0</v>
      </c>
      <c r="S177">
        <f>SmtRes!AC226</f>
        <v>0</v>
      </c>
      <c r="T177">
        <f>ROUND(ROUND(Q177*Source!I412, 6)*SmtRes!AK226, 2)</f>
        <v>0</v>
      </c>
      <c r="U177">
        <f>SmtRes!X226</f>
        <v>-1662970571</v>
      </c>
      <c r="V177">
        <v>496958337</v>
      </c>
      <c r="W177">
        <v>496958337</v>
      </c>
      <c r="X177">
        <v>3</v>
      </c>
    </row>
    <row r="178" spans="1:24" x14ac:dyDescent="0.2">
      <c r="A178">
        <v>20</v>
      </c>
      <c r="B178">
        <v>225</v>
      </c>
      <c r="C178">
        <v>2</v>
      </c>
      <c r="D178">
        <v>0</v>
      </c>
      <c r="E178">
        <f>SmtRes!AV225</f>
        <v>0</v>
      </c>
      <c r="F178" t="str">
        <f>SmtRes!I225</f>
        <v>22.1-30-1</v>
      </c>
      <c r="G178" t="str">
        <f>SmtRes!K225</f>
        <v>Трамбовки пневматические</v>
      </c>
      <c r="H178" t="str">
        <f>SmtRes!O225</f>
        <v>маш.-ч</v>
      </c>
      <c r="I178">
        <f>SmtRes!Y225*Source!I412</f>
        <v>3.2946</v>
      </c>
      <c r="J178">
        <f>SmtRes!AO225</f>
        <v>1</v>
      </c>
      <c r="K178">
        <f>SmtRes!AF225</f>
        <v>3.75</v>
      </c>
      <c r="L178">
        <f>SmtRes!DB225</f>
        <v>1.43</v>
      </c>
      <c r="M178">
        <f>ROUND(ROUND(L178*Source!I412, 6)*1, 2)</f>
        <v>12.4</v>
      </c>
      <c r="N178">
        <f>SmtRes!AB225</f>
        <v>3.75</v>
      </c>
      <c r="O178">
        <f>ROUND(ROUND(L178*Source!I412, 6)*SmtRes!DA225, 2)</f>
        <v>12.4</v>
      </c>
      <c r="P178">
        <f>SmtRes!AG225</f>
        <v>2.56</v>
      </c>
      <c r="Q178">
        <f>SmtRes!DC225</f>
        <v>0.97</v>
      </c>
      <c r="R178">
        <f>ROUND(ROUND(Q178*Source!I412, 6)*1, 2)</f>
        <v>8.41</v>
      </c>
      <c r="S178">
        <f>SmtRes!AC225</f>
        <v>2.56</v>
      </c>
      <c r="T178">
        <f>ROUND(ROUND(Q178*Source!I412, 6)*SmtRes!AK225, 2)</f>
        <v>8.41</v>
      </c>
      <c r="U178">
        <f>SmtRes!X225</f>
        <v>-1383996176</v>
      </c>
      <c r="V178">
        <v>456524966</v>
      </c>
      <c r="W178">
        <v>456524966</v>
      </c>
      <c r="X178">
        <v>2</v>
      </c>
    </row>
    <row r="179" spans="1:24" x14ac:dyDescent="0.2">
      <c r="A179">
        <v>20</v>
      </c>
      <c r="B179">
        <v>224</v>
      </c>
      <c r="C179">
        <v>2</v>
      </c>
      <c r="D179">
        <v>0</v>
      </c>
      <c r="E179">
        <f>SmtRes!AV224</f>
        <v>0</v>
      </c>
      <c r="F179" t="str">
        <f>SmtRes!I224</f>
        <v>22.1-10-5</v>
      </c>
      <c r="G179" t="str">
        <f>SmtRes!K224</f>
        <v>Компрессоры с дизельным двигателем прицепные до 5 м3/мин</v>
      </c>
      <c r="H179" t="str">
        <f>SmtRes!O224</f>
        <v>маш.-ч</v>
      </c>
      <c r="I179">
        <f>SmtRes!Y224*Source!I412</f>
        <v>3.2946</v>
      </c>
      <c r="J179">
        <f>SmtRes!AO224</f>
        <v>1</v>
      </c>
      <c r="K179">
        <f>SmtRes!AF224</f>
        <v>744.2</v>
      </c>
      <c r="L179">
        <f>SmtRes!DB224</f>
        <v>282.8</v>
      </c>
      <c r="M179">
        <f>ROUND(ROUND(L179*Source!I412, 6)*1, 2)</f>
        <v>2451.88</v>
      </c>
      <c r="N179">
        <f>SmtRes!AB224</f>
        <v>744.2</v>
      </c>
      <c r="O179">
        <f>ROUND(ROUND(L179*Source!I412, 6)*SmtRes!DA224, 2)</f>
        <v>2451.88</v>
      </c>
      <c r="P179">
        <f>SmtRes!AG224</f>
        <v>423.17</v>
      </c>
      <c r="Q179">
        <f>SmtRes!DC224</f>
        <v>160.80000000000001</v>
      </c>
      <c r="R179">
        <f>ROUND(ROUND(Q179*Source!I412, 6)*1, 2)</f>
        <v>1394.14</v>
      </c>
      <c r="S179">
        <f>SmtRes!AC224</f>
        <v>423.17</v>
      </c>
      <c r="T179">
        <f>ROUND(ROUND(Q179*Source!I412, 6)*SmtRes!AK224, 2)</f>
        <v>1394.14</v>
      </c>
      <c r="U179">
        <f>SmtRes!X224</f>
        <v>734322642</v>
      </c>
      <c r="V179">
        <v>158304140</v>
      </c>
      <c r="W179">
        <v>158304140</v>
      </c>
      <c r="X179">
        <v>2</v>
      </c>
    </row>
    <row r="180" spans="1:24" x14ac:dyDescent="0.2">
      <c r="A180">
        <v>20</v>
      </c>
      <c r="B180">
        <v>229</v>
      </c>
      <c r="C180">
        <v>3</v>
      </c>
      <c r="D180">
        <v>0</v>
      </c>
      <c r="E180">
        <f>SmtRes!AV229</f>
        <v>0</v>
      </c>
      <c r="F180" t="str">
        <f>SmtRes!I229</f>
        <v>21.3-1-69</v>
      </c>
      <c r="G180" t="str">
        <f>SmtRes!K229</f>
        <v>Смеси бетонные, БСГ, тяжелого бетона на гранитном щебне, класс прочности: В15 (М200); П3, фракция 5-20, F50-100, W0-2</v>
      </c>
      <c r="H180" t="str">
        <f>SmtRes!O229</f>
        <v>м3</v>
      </c>
      <c r="I180">
        <f>SmtRes!Y229*Source!I413</f>
        <v>4.3927999999999994</v>
      </c>
      <c r="J180">
        <f>SmtRes!AO229</f>
        <v>1</v>
      </c>
      <c r="K180">
        <f>SmtRes!AE229</f>
        <v>3714.73</v>
      </c>
      <c r="L180">
        <f>SmtRes!DB229</f>
        <v>282.32</v>
      </c>
      <c r="M180">
        <f>ROUND(ROUND(L180*Source!I413, 6)*1, 2)</f>
        <v>16318.1</v>
      </c>
      <c r="N180">
        <f>SmtRes!AA229</f>
        <v>3714.73</v>
      </c>
      <c r="O180">
        <f>ROUND(ROUND(L180*Source!I413, 6)*SmtRes!DA229, 2)</f>
        <v>16318.1</v>
      </c>
      <c r="P180">
        <f>SmtRes!AG229</f>
        <v>0</v>
      </c>
      <c r="Q180">
        <f>SmtRes!DC229</f>
        <v>0</v>
      </c>
      <c r="R180">
        <f>ROUND(ROUND(Q180*Source!I413, 6)*1, 2)</f>
        <v>0</v>
      </c>
      <c r="S180">
        <f>SmtRes!AC229</f>
        <v>0</v>
      </c>
      <c r="T180">
        <f>ROUND(ROUND(Q180*Source!I413, 6)*SmtRes!AK229, 2)</f>
        <v>0</v>
      </c>
      <c r="U180">
        <f>SmtRes!X229</f>
        <v>-697630842</v>
      </c>
      <c r="V180">
        <v>-887866689</v>
      </c>
      <c r="W180">
        <v>-887866689</v>
      </c>
      <c r="X180">
        <v>3</v>
      </c>
    </row>
    <row r="181" spans="1:24" x14ac:dyDescent="0.2">
      <c r="A181">
        <v>20</v>
      </c>
      <c r="B181">
        <v>228</v>
      </c>
      <c r="C181">
        <v>3</v>
      </c>
      <c r="D181">
        <v>0</v>
      </c>
      <c r="E181">
        <f>SmtRes!AV228</f>
        <v>0</v>
      </c>
      <c r="F181" t="str">
        <f>SmtRes!I228</f>
        <v>21.1-2-13</v>
      </c>
      <c r="G181" t="str">
        <f>SmtRes!K228</f>
        <v>Цемент общестроительный, портландцемент общего назначения, марка 400</v>
      </c>
      <c r="H181" t="str">
        <f>SmtRes!O228</f>
        <v>т</v>
      </c>
      <c r="I181">
        <f>SmtRes!Y228*Source!I413</f>
        <v>0.25431999999999999</v>
      </c>
      <c r="J181">
        <f>SmtRes!AO228</f>
        <v>1</v>
      </c>
      <c r="K181">
        <f>SmtRes!AE228</f>
        <v>4207.5</v>
      </c>
      <c r="L181">
        <f>SmtRes!DB228</f>
        <v>18.510000000000002</v>
      </c>
      <c r="M181">
        <f>ROUND(ROUND(L181*Source!I413, 6)*1, 2)</f>
        <v>1069.8800000000001</v>
      </c>
      <c r="N181">
        <f>SmtRes!AA228</f>
        <v>4207.5</v>
      </c>
      <c r="O181">
        <f>ROUND(ROUND(L181*Source!I413, 6)*SmtRes!DA228, 2)</f>
        <v>1069.8800000000001</v>
      </c>
      <c r="P181">
        <f>SmtRes!AG228</f>
        <v>0</v>
      </c>
      <c r="Q181">
        <f>SmtRes!DC228</f>
        <v>0</v>
      </c>
      <c r="R181">
        <f>ROUND(ROUND(Q181*Source!I413, 6)*1, 2)</f>
        <v>0</v>
      </c>
      <c r="S181">
        <f>SmtRes!AC228</f>
        <v>0</v>
      </c>
      <c r="T181">
        <f>ROUND(ROUND(Q181*Source!I413, 6)*SmtRes!AK228, 2)</f>
        <v>0</v>
      </c>
      <c r="U181">
        <f>SmtRes!X228</f>
        <v>213373920</v>
      </c>
      <c r="V181">
        <v>-1263609757</v>
      </c>
      <c r="W181">
        <v>-1263609757</v>
      </c>
      <c r="X181">
        <v>3</v>
      </c>
    </row>
    <row r="182" spans="1:24" x14ac:dyDescent="0.2">
      <c r="A182">
        <f>Source!A414</f>
        <v>18</v>
      </c>
      <c r="B182">
        <v>414</v>
      </c>
      <c r="C182">
        <v>3</v>
      </c>
      <c r="D182">
        <f>Source!BI414</f>
        <v>4</v>
      </c>
      <c r="E182">
        <f>Source!FS414</f>
        <v>0</v>
      </c>
      <c r="F182" t="str">
        <f>Source!F414</f>
        <v>21.5-3-12</v>
      </c>
      <c r="G182" t="str">
        <f>Source!G414</f>
        <v>Камни бетонные бортовые, марка БР60.20.8</v>
      </c>
      <c r="H182" t="str">
        <f>Source!H414</f>
        <v>м3</v>
      </c>
      <c r="I182">
        <f>Source!I414</f>
        <v>0.57799999999999996</v>
      </c>
      <c r="J182">
        <v>1</v>
      </c>
      <c r="K182">
        <f>Source!AC414</f>
        <v>9014.9</v>
      </c>
      <c r="M182">
        <f>ROUND(K182*I182, 2)</f>
        <v>5210.6099999999997</v>
      </c>
      <c r="N182">
        <f>Source!AC414*IF(Source!BC414&lt;&gt; 0, Source!BC414, 1)</f>
        <v>9014.9</v>
      </c>
      <c r="O182">
        <f>ROUND(N182*I182, 2)</f>
        <v>5210.6099999999997</v>
      </c>
      <c r="P182">
        <f>Source!AE414</f>
        <v>0</v>
      </c>
      <c r="R182">
        <f>ROUND(P182*I182, 2)</f>
        <v>0</v>
      </c>
      <c r="S182">
        <f>Source!AE414*IF(Source!BS414&lt;&gt; 0, Source!BS414, 1)</f>
        <v>0</v>
      </c>
      <c r="T182">
        <f>ROUND(S182*I182, 2)</f>
        <v>0</v>
      </c>
      <c r="U182">
        <f>Source!GF414</f>
        <v>858864401</v>
      </c>
      <c r="V182">
        <v>-1801759247</v>
      </c>
      <c r="W182">
        <v>-1801759247</v>
      </c>
      <c r="X182">
        <v>3</v>
      </c>
    </row>
    <row r="183" spans="1:24" x14ac:dyDescent="0.2">
      <c r="A183">
        <v>20</v>
      </c>
      <c r="B183">
        <v>236</v>
      </c>
      <c r="C183">
        <v>3</v>
      </c>
      <c r="D183">
        <v>0</v>
      </c>
      <c r="E183">
        <f>SmtRes!AV236</f>
        <v>0</v>
      </c>
      <c r="F183" t="str">
        <f>SmtRes!I236</f>
        <v>21.1-12-27</v>
      </c>
      <c r="G183" t="str">
        <f>SmtRes!K236</f>
        <v>Щебень из естественного камня для строительных работ, марка 300-200, фракция 40-70 мм</v>
      </c>
      <c r="H183" t="str">
        <f>SmtRes!O236</f>
        <v>м3</v>
      </c>
      <c r="I183">
        <f>SmtRes!Y236*Source!I415</f>
        <v>6.5</v>
      </c>
      <c r="J183">
        <f>SmtRes!AO236</f>
        <v>1</v>
      </c>
      <c r="K183">
        <f>SmtRes!AE236</f>
        <v>1241</v>
      </c>
      <c r="L183">
        <f>SmtRes!DB236</f>
        <v>1241</v>
      </c>
      <c r="M183">
        <f>ROUND(ROUND(L183*Source!I415, 6)*1, 2)</f>
        <v>8066.5</v>
      </c>
      <c r="N183">
        <f>SmtRes!AA236</f>
        <v>1241</v>
      </c>
      <c r="O183">
        <f>ROUND(ROUND(L183*Source!I415, 6)*SmtRes!DA236, 2)</f>
        <v>8066.5</v>
      </c>
      <c r="P183">
        <f>SmtRes!AG236</f>
        <v>0</v>
      </c>
      <c r="Q183">
        <f>SmtRes!DC236</f>
        <v>0</v>
      </c>
      <c r="R183">
        <f>ROUND(ROUND(Q183*Source!I415, 6)*1, 2)</f>
        <v>0</v>
      </c>
      <c r="S183">
        <f>SmtRes!AC236</f>
        <v>0</v>
      </c>
      <c r="T183">
        <f>ROUND(ROUND(Q183*Source!I415, 6)*SmtRes!AK236, 2)</f>
        <v>0</v>
      </c>
      <c r="U183">
        <f>SmtRes!X236</f>
        <v>2054449869</v>
      </c>
      <c r="V183">
        <v>566866900</v>
      </c>
      <c r="W183">
        <v>566866900</v>
      </c>
      <c r="X183">
        <v>3</v>
      </c>
    </row>
    <row r="184" spans="1:24" x14ac:dyDescent="0.2">
      <c r="A184">
        <v>20</v>
      </c>
      <c r="B184">
        <v>235</v>
      </c>
      <c r="C184">
        <v>3</v>
      </c>
      <c r="D184">
        <v>0</v>
      </c>
      <c r="E184">
        <f>SmtRes!AV235</f>
        <v>0</v>
      </c>
      <c r="F184" t="str">
        <f>SmtRes!I235</f>
        <v>21.1-12-25</v>
      </c>
      <c r="G184" t="str">
        <f>SmtRes!K235</f>
        <v>Щебень из естественного камня для строительных работ, марка 300-200, фракция 10-20 мм</v>
      </c>
      <c r="H184" t="str">
        <f>SmtRes!O235</f>
        <v>м3</v>
      </c>
      <c r="I184">
        <f>SmtRes!Y235*Source!I415</f>
        <v>0.58499999999999996</v>
      </c>
      <c r="J184">
        <f>SmtRes!AO235</f>
        <v>1</v>
      </c>
      <c r="K184">
        <f>SmtRes!AE235</f>
        <v>1436.5</v>
      </c>
      <c r="L184">
        <f>SmtRes!DB235</f>
        <v>129.29</v>
      </c>
      <c r="M184">
        <f>ROUND(ROUND(L184*Source!I415, 6)*1, 2)</f>
        <v>840.39</v>
      </c>
      <c r="N184">
        <f>SmtRes!AA235</f>
        <v>1436.5</v>
      </c>
      <c r="O184">
        <f>ROUND(ROUND(L184*Source!I415, 6)*SmtRes!DA235, 2)</f>
        <v>840.39</v>
      </c>
      <c r="P184">
        <f>SmtRes!AG235</f>
        <v>0</v>
      </c>
      <c r="Q184">
        <f>SmtRes!DC235</f>
        <v>0</v>
      </c>
      <c r="R184">
        <f>ROUND(ROUND(Q184*Source!I415, 6)*1, 2)</f>
        <v>0</v>
      </c>
      <c r="S184">
        <f>SmtRes!AC235</f>
        <v>0</v>
      </c>
      <c r="T184">
        <f>ROUND(ROUND(Q184*Source!I415, 6)*SmtRes!AK235, 2)</f>
        <v>0</v>
      </c>
      <c r="U184">
        <f>SmtRes!X235</f>
        <v>1126927627</v>
      </c>
      <c r="V184">
        <v>-1287472248</v>
      </c>
      <c r="W184">
        <v>-1287472248</v>
      </c>
      <c r="X184">
        <v>3</v>
      </c>
    </row>
    <row r="185" spans="1:24" x14ac:dyDescent="0.2">
      <c r="A185">
        <v>20</v>
      </c>
      <c r="B185">
        <v>234</v>
      </c>
      <c r="C185">
        <v>3</v>
      </c>
      <c r="D185">
        <v>0</v>
      </c>
      <c r="E185">
        <f>SmtRes!AV234</f>
        <v>0</v>
      </c>
      <c r="F185" t="str">
        <f>SmtRes!I234</f>
        <v>21.1-12-24</v>
      </c>
      <c r="G185" t="str">
        <f>SmtRes!K234</f>
        <v>Щебень из естественного камня для строительных работ, марка 300-200, фракция 5-10 мм</v>
      </c>
      <c r="H185" t="str">
        <f>SmtRes!O234</f>
        <v>м3</v>
      </c>
      <c r="I185">
        <f>SmtRes!Y234*Source!I415</f>
        <v>1.17</v>
      </c>
      <c r="J185">
        <f>SmtRes!AO234</f>
        <v>1</v>
      </c>
      <c r="K185">
        <f>SmtRes!AE234</f>
        <v>1436.5</v>
      </c>
      <c r="L185">
        <f>SmtRes!DB234</f>
        <v>258.57</v>
      </c>
      <c r="M185">
        <f>ROUND(ROUND(L185*Source!I415, 6)*1, 2)</f>
        <v>1680.71</v>
      </c>
      <c r="N185">
        <f>SmtRes!AA234</f>
        <v>1436.5</v>
      </c>
      <c r="O185">
        <f>ROUND(ROUND(L185*Source!I415, 6)*SmtRes!DA234, 2)</f>
        <v>1680.71</v>
      </c>
      <c r="P185">
        <f>SmtRes!AG234</f>
        <v>0</v>
      </c>
      <c r="Q185">
        <f>SmtRes!DC234</f>
        <v>0</v>
      </c>
      <c r="R185">
        <f>ROUND(ROUND(Q185*Source!I415, 6)*1, 2)</f>
        <v>0</v>
      </c>
      <c r="S185">
        <f>SmtRes!AC234</f>
        <v>0</v>
      </c>
      <c r="T185">
        <f>ROUND(ROUND(Q185*Source!I415, 6)*SmtRes!AK234, 2)</f>
        <v>0</v>
      </c>
      <c r="U185">
        <f>SmtRes!X234</f>
        <v>-1397951900</v>
      </c>
      <c r="V185">
        <v>466345056</v>
      </c>
      <c r="W185">
        <v>466345056</v>
      </c>
      <c r="X185">
        <v>3</v>
      </c>
    </row>
    <row r="186" spans="1:24" x14ac:dyDescent="0.2">
      <c r="A186">
        <v>20</v>
      </c>
      <c r="B186">
        <v>233</v>
      </c>
      <c r="C186">
        <v>2</v>
      </c>
      <c r="D186">
        <v>0</v>
      </c>
      <c r="E186">
        <f>SmtRes!AV233</f>
        <v>0</v>
      </c>
      <c r="F186" t="str">
        <f>SmtRes!I233</f>
        <v>22.1-30-1</v>
      </c>
      <c r="G186" t="str">
        <f>SmtRes!K233</f>
        <v>Трамбовки пневматические</v>
      </c>
      <c r="H186" t="str">
        <f>SmtRes!O233</f>
        <v>маш.-ч</v>
      </c>
      <c r="I186">
        <f>SmtRes!Y233*Source!I415</f>
        <v>9.6850000000000005</v>
      </c>
      <c r="J186">
        <f>SmtRes!AO233</f>
        <v>1</v>
      </c>
      <c r="K186">
        <f>SmtRes!AF233</f>
        <v>3.75</v>
      </c>
      <c r="L186">
        <f>SmtRes!DB233</f>
        <v>5.59</v>
      </c>
      <c r="M186">
        <f>ROUND(ROUND(L186*Source!I415, 6)*1, 2)</f>
        <v>36.340000000000003</v>
      </c>
      <c r="N186">
        <f>SmtRes!AB233</f>
        <v>3.75</v>
      </c>
      <c r="O186">
        <f>ROUND(ROUND(L186*Source!I415, 6)*SmtRes!DA233, 2)</f>
        <v>36.340000000000003</v>
      </c>
      <c r="P186">
        <f>SmtRes!AG233</f>
        <v>2.56</v>
      </c>
      <c r="Q186">
        <f>SmtRes!DC233</f>
        <v>3.81</v>
      </c>
      <c r="R186">
        <f>ROUND(ROUND(Q186*Source!I415, 6)*1, 2)</f>
        <v>24.77</v>
      </c>
      <c r="S186">
        <f>SmtRes!AC233</f>
        <v>2.56</v>
      </c>
      <c r="T186">
        <f>ROUND(ROUND(Q186*Source!I415, 6)*SmtRes!AK233, 2)</f>
        <v>24.77</v>
      </c>
      <c r="U186">
        <f>SmtRes!X233</f>
        <v>-1383996176</v>
      </c>
      <c r="V186">
        <v>456524966</v>
      </c>
      <c r="W186">
        <v>456524966</v>
      </c>
      <c r="X186">
        <v>2</v>
      </c>
    </row>
    <row r="187" spans="1:24" x14ac:dyDescent="0.2">
      <c r="A187">
        <v>20</v>
      </c>
      <c r="B187">
        <v>232</v>
      </c>
      <c r="C187">
        <v>2</v>
      </c>
      <c r="D187">
        <v>0</v>
      </c>
      <c r="E187">
        <f>SmtRes!AV232</f>
        <v>0</v>
      </c>
      <c r="F187" t="str">
        <f>SmtRes!I232</f>
        <v>22.1-10-5</v>
      </c>
      <c r="G187" t="str">
        <f>SmtRes!K232</f>
        <v>Компрессоры с дизельным двигателем прицепные до 5 м3/мин</v>
      </c>
      <c r="H187" t="str">
        <f>SmtRes!O232</f>
        <v>маш.-ч</v>
      </c>
      <c r="I187">
        <f>SmtRes!Y232*Source!I415</f>
        <v>9.6850000000000005</v>
      </c>
      <c r="J187">
        <f>SmtRes!AO232</f>
        <v>1</v>
      </c>
      <c r="K187">
        <f>SmtRes!AF232</f>
        <v>744.2</v>
      </c>
      <c r="L187">
        <f>SmtRes!DB232</f>
        <v>1108.8599999999999</v>
      </c>
      <c r="M187">
        <f>ROUND(ROUND(L187*Source!I415, 6)*1, 2)</f>
        <v>7207.59</v>
      </c>
      <c r="N187">
        <f>SmtRes!AB232</f>
        <v>744.2</v>
      </c>
      <c r="O187">
        <f>ROUND(ROUND(L187*Source!I415, 6)*SmtRes!DA232, 2)</f>
        <v>7207.59</v>
      </c>
      <c r="P187">
        <f>SmtRes!AG232</f>
        <v>423.17</v>
      </c>
      <c r="Q187">
        <f>SmtRes!DC232</f>
        <v>630.52</v>
      </c>
      <c r="R187">
        <f>ROUND(ROUND(Q187*Source!I415, 6)*1, 2)</f>
        <v>4098.38</v>
      </c>
      <c r="S187">
        <f>SmtRes!AC232</f>
        <v>423.17</v>
      </c>
      <c r="T187">
        <f>ROUND(ROUND(Q187*Source!I415, 6)*SmtRes!AK232, 2)</f>
        <v>4098.38</v>
      </c>
      <c r="U187">
        <f>SmtRes!X232</f>
        <v>734322642</v>
      </c>
      <c r="V187">
        <v>158304140</v>
      </c>
      <c r="W187">
        <v>158304140</v>
      </c>
      <c r="X187">
        <v>2</v>
      </c>
    </row>
    <row r="188" spans="1:24" x14ac:dyDescent="0.2">
      <c r="A188">
        <v>20</v>
      </c>
      <c r="B188">
        <v>243</v>
      </c>
      <c r="C188">
        <v>3</v>
      </c>
      <c r="D188">
        <v>0</v>
      </c>
      <c r="E188">
        <f>SmtRes!AV243</f>
        <v>0</v>
      </c>
      <c r="F188" t="str">
        <f>SmtRes!I243</f>
        <v>21.3-3-19</v>
      </c>
      <c r="G188" t="str">
        <f>SmtRes!K243</f>
        <v>Смеси асфальтобетонные дорожные горячие мелкозернистые, марка II, тип В</v>
      </c>
      <c r="H188" t="str">
        <f>SmtRes!O243</f>
        <v>т</v>
      </c>
      <c r="I188">
        <f>SmtRes!Y243*Source!I416</f>
        <v>2.5099649999999998</v>
      </c>
      <c r="J188">
        <f>SmtRes!AO243</f>
        <v>1</v>
      </c>
      <c r="K188">
        <f>SmtRes!AE243</f>
        <v>2562.79</v>
      </c>
      <c r="L188">
        <f>SmtRes!DB243</f>
        <v>14838.55</v>
      </c>
      <c r="M188">
        <f>ROUND(ROUND(L188*Source!I416, 6)*1, 2)</f>
        <v>6432.51</v>
      </c>
      <c r="N188">
        <f>SmtRes!AA243</f>
        <v>2562.79</v>
      </c>
      <c r="O188">
        <f>ROUND(ROUND(L188*Source!I416, 6)*SmtRes!DA243, 2)</f>
        <v>6432.51</v>
      </c>
      <c r="P188">
        <f>SmtRes!AG243</f>
        <v>0</v>
      </c>
      <c r="Q188">
        <f>SmtRes!DC243</f>
        <v>0</v>
      </c>
      <c r="R188">
        <f>ROUND(ROUND(Q188*Source!I416, 6)*1, 2)</f>
        <v>0</v>
      </c>
      <c r="S188">
        <f>SmtRes!AC243</f>
        <v>0</v>
      </c>
      <c r="T188">
        <f>ROUND(ROUND(Q188*Source!I416, 6)*SmtRes!AK243, 2)</f>
        <v>0</v>
      </c>
      <c r="U188">
        <f>SmtRes!X243</f>
        <v>1103439754</v>
      </c>
      <c r="V188">
        <v>1846978656</v>
      </c>
      <c r="W188">
        <v>1846978656</v>
      </c>
      <c r="X188">
        <v>3</v>
      </c>
    </row>
    <row r="189" spans="1:24" x14ac:dyDescent="0.2">
      <c r="A189">
        <v>20</v>
      </c>
      <c r="B189">
        <v>242</v>
      </c>
      <c r="C189">
        <v>3</v>
      </c>
      <c r="D189">
        <v>0</v>
      </c>
      <c r="E189">
        <f>SmtRes!AV242</f>
        <v>0</v>
      </c>
      <c r="F189" t="str">
        <f>SmtRes!I242</f>
        <v>21.1-9-13</v>
      </c>
      <c r="G189" t="str">
        <f>SmtRes!K242</f>
        <v>Бруски хвойных пород обрезные, длина 2-6,5 м, сорт III, толщина 50-60 мм</v>
      </c>
      <c r="H189" t="str">
        <f>SmtRes!O242</f>
        <v>м3</v>
      </c>
      <c r="I189">
        <f>SmtRes!Y242*Source!I416</f>
        <v>4.3350000000000003E-3</v>
      </c>
      <c r="J189">
        <f>SmtRes!AO242</f>
        <v>1</v>
      </c>
      <c r="K189">
        <f>SmtRes!AE242</f>
        <v>7064.05</v>
      </c>
      <c r="L189">
        <f>SmtRes!DB242</f>
        <v>70.64</v>
      </c>
      <c r="M189">
        <f>ROUND(ROUND(L189*Source!I416, 6)*1, 2)</f>
        <v>30.62</v>
      </c>
      <c r="N189">
        <f>SmtRes!AA242</f>
        <v>7064.05</v>
      </c>
      <c r="O189">
        <f>ROUND(ROUND(L189*Source!I416, 6)*SmtRes!DA242, 2)</f>
        <v>30.62</v>
      </c>
      <c r="P189">
        <f>SmtRes!AG242</f>
        <v>0</v>
      </c>
      <c r="Q189">
        <f>SmtRes!DC242</f>
        <v>0</v>
      </c>
      <c r="R189">
        <f>ROUND(ROUND(Q189*Source!I416, 6)*1, 2)</f>
        <v>0</v>
      </c>
      <c r="S189">
        <f>SmtRes!AC242</f>
        <v>0</v>
      </c>
      <c r="T189">
        <f>ROUND(ROUND(Q189*Source!I416, 6)*SmtRes!AK242, 2)</f>
        <v>0</v>
      </c>
      <c r="U189">
        <f>SmtRes!X242</f>
        <v>-1674634845</v>
      </c>
      <c r="V189">
        <v>1332636129</v>
      </c>
      <c r="W189">
        <v>1332636129</v>
      </c>
      <c r="X189">
        <v>3</v>
      </c>
    </row>
    <row r="190" spans="1:24" x14ac:dyDescent="0.2">
      <c r="A190">
        <v>20</v>
      </c>
      <c r="B190">
        <v>241</v>
      </c>
      <c r="C190">
        <v>3</v>
      </c>
      <c r="D190">
        <v>0</v>
      </c>
      <c r="E190">
        <f>SmtRes!AV241</f>
        <v>0</v>
      </c>
      <c r="F190" t="str">
        <f>SmtRes!I241</f>
        <v>21.1-1-27</v>
      </c>
      <c r="G190" t="str">
        <f>SmtRes!K241</f>
        <v>Мастика герметизирующая нетвердеющая, строительная, марка "Праймер"</v>
      </c>
      <c r="H190" t="str">
        <f>SmtRes!O241</f>
        <v>т</v>
      </c>
      <c r="I190">
        <f>SmtRes!Y241*Source!I416</f>
        <v>2.9911500000000001E-2</v>
      </c>
      <c r="J190">
        <f>SmtRes!AO241</f>
        <v>1</v>
      </c>
      <c r="K190">
        <f>SmtRes!AE241</f>
        <v>36258.75</v>
      </c>
      <c r="L190">
        <f>SmtRes!DB241</f>
        <v>2501.85</v>
      </c>
      <c r="M190">
        <f>ROUND(ROUND(L190*Source!I416, 6)*1, 2)</f>
        <v>1084.55</v>
      </c>
      <c r="N190">
        <f>SmtRes!AA241</f>
        <v>36258.75</v>
      </c>
      <c r="O190">
        <f>ROUND(ROUND(L190*Source!I416, 6)*SmtRes!DA241, 2)</f>
        <v>1084.55</v>
      </c>
      <c r="P190">
        <f>SmtRes!AG241</f>
        <v>0</v>
      </c>
      <c r="Q190">
        <f>SmtRes!DC241</f>
        <v>0</v>
      </c>
      <c r="R190">
        <f>ROUND(ROUND(Q190*Source!I416, 6)*1, 2)</f>
        <v>0</v>
      </c>
      <c r="S190">
        <f>SmtRes!AC241</f>
        <v>0</v>
      </c>
      <c r="T190">
        <f>ROUND(ROUND(Q190*Source!I416, 6)*SmtRes!AK241, 2)</f>
        <v>0</v>
      </c>
      <c r="U190">
        <f>SmtRes!X241</f>
        <v>1123680579</v>
      </c>
      <c r="V190">
        <v>1595178378</v>
      </c>
      <c r="W190">
        <v>1595178378</v>
      </c>
      <c r="X190">
        <v>3</v>
      </c>
    </row>
    <row r="191" spans="1:24" x14ac:dyDescent="0.2">
      <c r="A191">
        <v>20</v>
      </c>
      <c r="B191">
        <v>240</v>
      </c>
      <c r="C191">
        <v>2</v>
      </c>
      <c r="D191">
        <v>0</v>
      </c>
      <c r="E191">
        <f>SmtRes!AV240</f>
        <v>0</v>
      </c>
      <c r="F191" t="str">
        <f>SmtRes!I240</f>
        <v>22.1-30-1</v>
      </c>
      <c r="G191" t="str">
        <f>SmtRes!K240</f>
        <v>Трамбовки пневматические</v>
      </c>
      <c r="H191" t="str">
        <f>SmtRes!O240</f>
        <v>маш.-ч</v>
      </c>
      <c r="I191">
        <f>SmtRes!Y240*Source!I416</f>
        <v>0.46818000000000004</v>
      </c>
      <c r="J191">
        <f>SmtRes!AO240</f>
        <v>1</v>
      </c>
      <c r="K191">
        <f>SmtRes!AF240</f>
        <v>3.75</v>
      </c>
      <c r="L191">
        <f>SmtRes!DB240</f>
        <v>4.05</v>
      </c>
      <c r="M191">
        <f>ROUND(ROUND(L191*Source!I416, 6)*1, 2)</f>
        <v>1.76</v>
      </c>
      <c r="N191">
        <f>SmtRes!AB240</f>
        <v>3.75</v>
      </c>
      <c r="O191">
        <f>ROUND(ROUND(L191*Source!I416, 6)*SmtRes!DA240, 2)</f>
        <v>1.76</v>
      </c>
      <c r="P191">
        <f>SmtRes!AG240</f>
        <v>2.56</v>
      </c>
      <c r="Q191">
        <f>SmtRes!DC240</f>
        <v>2.76</v>
      </c>
      <c r="R191">
        <f>ROUND(ROUND(Q191*Source!I416, 6)*1, 2)</f>
        <v>1.2</v>
      </c>
      <c r="S191">
        <f>SmtRes!AC240</f>
        <v>2.56</v>
      </c>
      <c r="T191">
        <f>ROUND(ROUND(Q191*Source!I416, 6)*SmtRes!AK240, 2)</f>
        <v>1.2</v>
      </c>
      <c r="U191">
        <f>SmtRes!X240</f>
        <v>-1383996176</v>
      </c>
      <c r="V191">
        <v>456524966</v>
      </c>
      <c r="W191">
        <v>456524966</v>
      </c>
      <c r="X191">
        <v>2</v>
      </c>
    </row>
    <row r="192" spans="1:24" x14ac:dyDescent="0.2">
      <c r="A192">
        <v>20</v>
      </c>
      <c r="B192">
        <v>239</v>
      </c>
      <c r="C192">
        <v>2</v>
      </c>
      <c r="D192">
        <v>0</v>
      </c>
      <c r="E192">
        <f>SmtRes!AV239</f>
        <v>0</v>
      </c>
      <c r="F192" t="str">
        <f>SmtRes!I239</f>
        <v>22.1-14-6</v>
      </c>
      <c r="G192" t="str">
        <f>SmtRes!K239</f>
        <v>Агрегаты для подачи грунтовки</v>
      </c>
      <c r="H192" t="str">
        <f>SmtRes!O239</f>
        <v>маш.-ч</v>
      </c>
      <c r="I192">
        <f>SmtRes!Y239*Source!I416</f>
        <v>0.35113500000000003</v>
      </c>
      <c r="J192">
        <f>SmtRes!AO239</f>
        <v>1</v>
      </c>
      <c r="K192">
        <f>SmtRes!AF239</f>
        <v>1977.07</v>
      </c>
      <c r="L192">
        <f>SmtRes!DB239</f>
        <v>1601.43</v>
      </c>
      <c r="M192">
        <f>ROUND(ROUND(L192*Source!I416, 6)*1, 2)</f>
        <v>694.22</v>
      </c>
      <c r="N192">
        <f>SmtRes!AB239</f>
        <v>1977.07</v>
      </c>
      <c r="O192">
        <f>ROUND(ROUND(L192*Source!I416, 6)*SmtRes!DA239, 2)</f>
        <v>694.22</v>
      </c>
      <c r="P192">
        <f>SmtRes!AG239</f>
        <v>1200.6500000000001</v>
      </c>
      <c r="Q192">
        <f>SmtRes!DC239</f>
        <v>972.53</v>
      </c>
      <c r="R192">
        <f>ROUND(ROUND(Q192*Source!I416, 6)*1, 2)</f>
        <v>421.59</v>
      </c>
      <c r="S192">
        <f>SmtRes!AC239</f>
        <v>1200.6500000000001</v>
      </c>
      <c r="T192">
        <f>ROUND(ROUND(Q192*Source!I416, 6)*SmtRes!AK239, 2)</f>
        <v>421.59</v>
      </c>
      <c r="U192">
        <f>SmtRes!X239</f>
        <v>831329057</v>
      </c>
      <c r="V192">
        <v>1723114365</v>
      </c>
      <c r="W192">
        <v>1723114365</v>
      </c>
      <c r="X192">
        <v>2</v>
      </c>
    </row>
    <row r="193" spans="1:24" x14ac:dyDescent="0.2">
      <c r="A193">
        <v>20</v>
      </c>
      <c r="B193">
        <v>238</v>
      </c>
      <c r="C193">
        <v>2</v>
      </c>
      <c r="D193">
        <v>0</v>
      </c>
      <c r="E193">
        <f>SmtRes!AV238</f>
        <v>0</v>
      </c>
      <c r="F193" t="str">
        <f>SmtRes!I238</f>
        <v>22.1-10-5</v>
      </c>
      <c r="G193" t="str">
        <f>SmtRes!K238</f>
        <v>Компрессоры с дизельным двигателем прицепные до 5 м3/мин</v>
      </c>
      <c r="H193" t="str">
        <f>SmtRes!O238</f>
        <v>маш.-ч</v>
      </c>
      <c r="I193">
        <f>SmtRes!Y238*Source!I416</f>
        <v>0.23842500000000003</v>
      </c>
      <c r="J193">
        <f>SmtRes!AO238</f>
        <v>1</v>
      </c>
      <c r="K193">
        <f>SmtRes!AF238</f>
        <v>744.2</v>
      </c>
      <c r="L193">
        <f>SmtRes!DB238</f>
        <v>409.31</v>
      </c>
      <c r="M193">
        <f>ROUND(ROUND(L193*Source!I416, 6)*1, 2)</f>
        <v>177.44</v>
      </c>
      <c r="N193">
        <f>SmtRes!AB238</f>
        <v>744.2</v>
      </c>
      <c r="O193">
        <f>ROUND(ROUND(L193*Source!I416, 6)*SmtRes!DA238, 2)</f>
        <v>177.44</v>
      </c>
      <c r="P193">
        <f>SmtRes!AG238</f>
        <v>423.17</v>
      </c>
      <c r="Q193">
        <f>SmtRes!DC238</f>
        <v>232.74</v>
      </c>
      <c r="R193">
        <f>ROUND(ROUND(Q193*Source!I416, 6)*1, 2)</f>
        <v>100.89</v>
      </c>
      <c r="S193">
        <f>SmtRes!AC238</f>
        <v>423.17</v>
      </c>
      <c r="T193">
        <f>ROUND(ROUND(Q193*Source!I416, 6)*SmtRes!AK238, 2)</f>
        <v>100.89</v>
      </c>
      <c r="U193">
        <f>SmtRes!X238</f>
        <v>734322642</v>
      </c>
      <c r="V193">
        <v>158304140</v>
      </c>
      <c r="W193">
        <v>158304140</v>
      </c>
      <c r="X193">
        <v>2</v>
      </c>
    </row>
    <row r="194" spans="1:24" x14ac:dyDescent="0.2">
      <c r="A194">
        <v>20</v>
      </c>
      <c r="B194">
        <v>247</v>
      </c>
      <c r="C194">
        <v>3</v>
      </c>
      <c r="D194">
        <v>0</v>
      </c>
      <c r="E194">
        <f>SmtRes!AV247</f>
        <v>0</v>
      </c>
      <c r="F194" t="str">
        <f>SmtRes!I247</f>
        <v>21.3-3-19</v>
      </c>
      <c r="G194" t="str">
        <f>SmtRes!K247</f>
        <v>Смеси асфальтобетонные дорожные горячие мелкозернистые, марка II, тип В</v>
      </c>
      <c r="H194" t="str">
        <f>SmtRes!O247</f>
        <v>т</v>
      </c>
      <c r="I194">
        <f>SmtRes!Y247*Source!I417</f>
        <v>0.50285999999999997</v>
      </c>
      <c r="J194">
        <f>SmtRes!AO247</f>
        <v>1</v>
      </c>
      <c r="K194">
        <f>SmtRes!AE247</f>
        <v>2562.79</v>
      </c>
      <c r="L194">
        <f>SmtRes!DB247</f>
        <v>2972.84</v>
      </c>
      <c r="M194">
        <f>ROUND(ROUND(L194*Source!I417, 6)*1, 2)</f>
        <v>1288.73</v>
      </c>
      <c r="N194">
        <f>SmtRes!AA247</f>
        <v>2562.79</v>
      </c>
      <c r="O194">
        <f>ROUND(ROUND(L194*Source!I417, 6)*SmtRes!DA247, 2)</f>
        <v>1288.73</v>
      </c>
      <c r="P194">
        <f>SmtRes!AG247</f>
        <v>0</v>
      </c>
      <c r="Q194">
        <f>SmtRes!DC247</f>
        <v>0</v>
      </c>
      <c r="R194">
        <f>ROUND(ROUND(Q194*Source!I417, 6)*1, 2)</f>
        <v>0</v>
      </c>
      <c r="S194">
        <f>SmtRes!AC247</f>
        <v>0</v>
      </c>
      <c r="T194">
        <f>ROUND(ROUND(Q194*Source!I417, 6)*SmtRes!AK247, 2)</f>
        <v>0</v>
      </c>
      <c r="U194">
        <f>SmtRes!X247</f>
        <v>1103439754</v>
      </c>
      <c r="V194">
        <v>1846978656</v>
      </c>
      <c r="W194">
        <v>1846978656</v>
      </c>
      <c r="X194">
        <v>3</v>
      </c>
    </row>
    <row r="195" spans="1:24" x14ac:dyDescent="0.2">
      <c r="A195">
        <v>20</v>
      </c>
      <c r="B195">
        <v>246</v>
      </c>
      <c r="C195">
        <v>2</v>
      </c>
      <c r="D195">
        <v>0</v>
      </c>
      <c r="E195">
        <f>SmtRes!AV246</f>
        <v>0</v>
      </c>
      <c r="F195" t="str">
        <f>SmtRes!I246</f>
        <v>22.1-30-1</v>
      </c>
      <c r="G195" t="str">
        <f>SmtRes!K246</f>
        <v>Трамбовки пневматические</v>
      </c>
      <c r="H195" t="str">
        <f>SmtRes!O246</f>
        <v>маш.-ч</v>
      </c>
      <c r="I195">
        <f>SmtRes!Y246*Source!I417</f>
        <v>0.12138000000000002</v>
      </c>
      <c r="J195">
        <f>SmtRes!AO246</f>
        <v>1</v>
      </c>
      <c r="K195">
        <f>SmtRes!AF246</f>
        <v>3.75</v>
      </c>
      <c r="L195">
        <f>SmtRes!DB246</f>
        <v>1.05</v>
      </c>
      <c r="M195">
        <f>ROUND(ROUND(L195*Source!I417, 6)*1, 2)</f>
        <v>0.46</v>
      </c>
      <c r="N195">
        <f>SmtRes!AB246</f>
        <v>3.75</v>
      </c>
      <c r="O195">
        <f>ROUND(ROUND(L195*Source!I417, 6)*SmtRes!DA246, 2)</f>
        <v>0.46</v>
      </c>
      <c r="P195">
        <f>SmtRes!AG246</f>
        <v>2.56</v>
      </c>
      <c r="Q195">
        <f>SmtRes!DC246</f>
        <v>0.72</v>
      </c>
      <c r="R195">
        <f>ROUND(ROUND(Q195*Source!I417, 6)*1, 2)</f>
        <v>0.31</v>
      </c>
      <c r="S195">
        <f>SmtRes!AC246</f>
        <v>2.56</v>
      </c>
      <c r="T195">
        <f>ROUND(ROUND(Q195*Source!I417, 6)*SmtRes!AK246, 2)</f>
        <v>0.31</v>
      </c>
      <c r="U195">
        <f>SmtRes!X246</f>
        <v>-1383996176</v>
      </c>
      <c r="V195">
        <v>456524966</v>
      </c>
      <c r="W195">
        <v>456524966</v>
      </c>
      <c r="X195">
        <v>2</v>
      </c>
    </row>
    <row r="196" spans="1:24" x14ac:dyDescent="0.2">
      <c r="A196">
        <v>20</v>
      </c>
      <c r="B196">
        <v>245</v>
      </c>
      <c r="C196">
        <v>2</v>
      </c>
      <c r="D196">
        <v>0</v>
      </c>
      <c r="E196">
        <f>SmtRes!AV245</f>
        <v>0</v>
      </c>
      <c r="F196" t="str">
        <f>SmtRes!I245</f>
        <v>22.1-10-5</v>
      </c>
      <c r="G196" t="str">
        <f>SmtRes!K245</f>
        <v>Компрессоры с дизельным двигателем прицепные до 5 м3/мин</v>
      </c>
      <c r="H196" t="str">
        <f>SmtRes!O245</f>
        <v>маш.-ч</v>
      </c>
      <c r="I196">
        <f>SmtRes!Y245*Source!I417</f>
        <v>6.0690000000000008E-2</v>
      </c>
      <c r="J196">
        <f>SmtRes!AO245</f>
        <v>1</v>
      </c>
      <c r="K196">
        <f>SmtRes!AF245</f>
        <v>744.2</v>
      </c>
      <c r="L196">
        <f>SmtRes!DB245</f>
        <v>104.19</v>
      </c>
      <c r="M196">
        <f>ROUND(ROUND(L196*Source!I417, 6)*1, 2)</f>
        <v>45.17</v>
      </c>
      <c r="N196">
        <f>SmtRes!AB245</f>
        <v>744.2</v>
      </c>
      <c r="O196">
        <f>ROUND(ROUND(L196*Source!I417, 6)*SmtRes!DA245, 2)</f>
        <v>45.17</v>
      </c>
      <c r="P196">
        <f>SmtRes!AG245</f>
        <v>423.17</v>
      </c>
      <c r="Q196">
        <f>SmtRes!DC245</f>
        <v>59.24</v>
      </c>
      <c r="R196">
        <f>ROUND(ROUND(Q196*Source!I417, 6)*1, 2)</f>
        <v>25.68</v>
      </c>
      <c r="S196">
        <f>SmtRes!AC245</f>
        <v>423.17</v>
      </c>
      <c r="T196">
        <f>ROUND(ROUND(Q196*Source!I417, 6)*SmtRes!AK245, 2)</f>
        <v>25.68</v>
      </c>
      <c r="U196">
        <f>SmtRes!X245</f>
        <v>734322642</v>
      </c>
      <c r="V196">
        <v>158304140</v>
      </c>
      <c r="W196">
        <v>158304140</v>
      </c>
      <c r="X196">
        <v>2</v>
      </c>
    </row>
    <row r="197" spans="1:24" x14ac:dyDescent="0.2">
      <c r="A197">
        <f>Source!A479</f>
        <v>4</v>
      </c>
      <c r="B197">
        <v>479</v>
      </c>
      <c r="G197" t="str">
        <f>Source!G479</f>
        <v>Забор</v>
      </c>
    </row>
    <row r="198" spans="1:24" x14ac:dyDescent="0.2">
      <c r="A198">
        <f>Source!A483</f>
        <v>5</v>
      </c>
      <c r="B198">
        <v>483</v>
      </c>
      <c r="G198" t="str">
        <f>Source!G483</f>
        <v>Демонтажные работы</v>
      </c>
    </row>
    <row r="199" spans="1:24" x14ac:dyDescent="0.2">
      <c r="A199">
        <v>20</v>
      </c>
      <c r="B199">
        <v>249</v>
      </c>
      <c r="C199">
        <v>2</v>
      </c>
      <c r="D199">
        <v>0</v>
      </c>
      <c r="E199">
        <f>SmtRes!AV249</f>
        <v>0</v>
      </c>
      <c r="F199" t="str">
        <f>SmtRes!I249</f>
        <v>22.1-4-31</v>
      </c>
      <c r="G199" t="str">
        <f>SmtRes!K249</f>
        <v>Лебедки электрические, грузоподъемность до 1,5 т</v>
      </c>
      <c r="H199" t="str">
        <f>SmtRes!O249</f>
        <v>маш.-ч</v>
      </c>
      <c r="I199">
        <f>SmtRes!Y249*Source!I487</f>
        <v>20.633999999999997</v>
      </c>
      <c r="J199">
        <f>SmtRes!AO249</f>
        <v>1</v>
      </c>
      <c r="K199">
        <f>SmtRes!AF249</f>
        <v>31</v>
      </c>
      <c r="L199">
        <f>SmtRes!DB249</f>
        <v>117.8</v>
      </c>
      <c r="M199">
        <f>ROUND(ROUND(L199*Source!I487, 6)*1, 2)</f>
        <v>639.65</v>
      </c>
      <c r="N199">
        <f>SmtRes!AB249</f>
        <v>31</v>
      </c>
      <c r="O199">
        <f>ROUND(ROUND(L199*Source!I487, 6)*SmtRes!DA249, 2)</f>
        <v>639.65</v>
      </c>
      <c r="P199">
        <f>SmtRes!AG249</f>
        <v>1.35</v>
      </c>
      <c r="Q199">
        <f>SmtRes!DC249</f>
        <v>5.13</v>
      </c>
      <c r="R199">
        <f>ROUND(ROUND(Q199*Source!I487, 6)*1, 2)</f>
        <v>27.86</v>
      </c>
      <c r="S199">
        <f>SmtRes!AC249</f>
        <v>1.35</v>
      </c>
      <c r="T199">
        <f>ROUND(ROUND(Q199*Source!I487, 6)*SmtRes!AK249, 2)</f>
        <v>27.86</v>
      </c>
      <c r="U199">
        <f>SmtRes!X249</f>
        <v>-204835879</v>
      </c>
      <c r="V199">
        <v>1844315211</v>
      </c>
      <c r="W199">
        <v>1844315211</v>
      </c>
      <c r="X199">
        <v>2</v>
      </c>
    </row>
    <row r="200" spans="1:24" x14ac:dyDescent="0.2">
      <c r="A200">
        <f>Source!A519</f>
        <v>5</v>
      </c>
      <c r="B200">
        <v>519</v>
      </c>
      <c r="G200" t="str">
        <f>Source!G519</f>
        <v>Строительные работы</v>
      </c>
    </row>
    <row r="201" spans="1:24" x14ac:dyDescent="0.2">
      <c r="A201">
        <v>20</v>
      </c>
      <c r="B201">
        <v>263</v>
      </c>
      <c r="C201">
        <v>3</v>
      </c>
      <c r="D201">
        <v>0</v>
      </c>
      <c r="E201">
        <f>SmtRes!AV263</f>
        <v>0</v>
      </c>
      <c r="F201" t="str">
        <f>SmtRes!I263</f>
        <v>21.7-3-6</v>
      </c>
      <c r="G201" t="str">
        <f>SmtRes!K263</f>
        <v>Диск отрезной абразивный для резки по металлу, диаметр 125 мм</v>
      </c>
      <c r="H201" t="str">
        <f>SmtRes!O263</f>
        <v>шт.</v>
      </c>
      <c r="I201">
        <f>SmtRes!Y263*Source!I523</f>
        <v>6.3280000000000003</v>
      </c>
      <c r="J201">
        <f>SmtRes!AO263</f>
        <v>1</v>
      </c>
      <c r="K201">
        <f>SmtRes!AE263</f>
        <v>16.54</v>
      </c>
      <c r="L201">
        <f>SmtRes!DB263</f>
        <v>0.23</v>
      </c>
      <c r="M201">
        <f>ROUND(ROUND(L201*Source!I523, 6)*1, 2)</f>
        <v>103.96</v>
      </c>
      <c r="N201">
        <f>SmtRes!AA263</f>
        <v>16.54</v>
      </c>
      <c r="O201">
        <f>ROUND(ROUND(L201*Source!I523, 6)*SmtRes!DA263, 2)</f>
        <v>103.96</v>
      </c>
      <c r="P201">
        <f>SmtRes!AG263</f>
        <v>0</v>
      </c>
      <c r="Q201">
        <f>SmtRes!DC263</f>
        <v>0</v>
      </c>
      <c r="R201">
        <f>ROUND(ROUND(Q201*Source!I523, 6)*1, 2)</f>
        <v>0</v>
      </c>
      <c r="S201">
        <f>SmtRes!AC263</f>
        <v>0</v>
      </c>
      <c r="T201">
        <f>ROUND(ROUND(Q201*Source!I523, 6)*SmtRes!AK263, 2)</f>
        <v>0</v>
      </c>
      <c r="U201">
        <f>SmtRes!X263</f>
        <v>1030269180</v>
      </c>
      <c r="V201">
        <v>-886970170</v>
      </c>
      <c r="W201">
        <v>-886970170</v>
      </c>
      <c r="X201">
        <v>3</v>
      </c>
    </row>
    <row r="202" spans="1:24" x14ac:dyDescent="0.2">
      <c r="A202">
        <v>20</v>
      </c>
      <c r="B202">
        <v>262</v>
      </c>
      <c r="C202">
        <v>3</v>
      </c>
      <c r="D202">
        <v>0</v>
      </c>
      <c r="E202">
        <f>SmtRes!AV262</f>
        <v>0</v>
      </c>
      <c r="F202" t="str">
        <f>SmtRes!I262</f>
        <v>21.1-23-9</v>
      </c>
      <c r="G202" t="str">
        <f>SmtRes!K262</f>
        <v>Электроды, тип Э-42, 46, 50, диаметр 4 - 6 мм</v>
      </c>
      <c r="H202" t="str">
        <f>SmtRes!O262</f>
        <v>т</v>
      </c>
      <c r="I202">
        <f>SmtRes!Y262*Source!I523</f>
        <v>0.22600000000000001</v>
      </c>
      <c r="J202">
        <f>SmtRes!AO262</f>
        <v>1</v>
      </c>
      <c r="K202">
        <f>SmtRes!AE262</f>
        <v>110781.14</v>
      </c>
      <c r="L202">
        <f>SmtRes!DB262</f>
        <v>55.39</v>
      </c>
      <c r="M202">
        <f>ROUND(ROUND(L202*Source!I523, 6)*1, 2)</f>
        <v>25036.28</v>
      </c>
      <c r="N202">
        <f>SmtRes!AA262</f>
        <v>110781.14</v>
      </c>
      <c r="O202">
        <f>ROUND(ROUND(L202*Source!I523, 6)*SmtRes!DA262, 2)</f>
        <v>25036.28</v>
      </c>
      <c r="P202">
        <f>SmtRes!AG262</f>
        <v>0</v>
      </c>
      <c r="Q202">
        <f>SmtRes!DC262</f>
        <v>0</v>
      </c>
      <c r="R202">
        <f>ROUND(ROUND(Q202*Source!I523, 6)*1, 2)</f>
        <v>0</v>
      </c>
      <c r="S202">
        <f>SmtRes!AC262</f>
        <v>0</v>
      </c>
      <c r="T202">
        <f>ROUND(ROUND(Q202*Source!I523, 6)*SmtRes!AK262, 2)</f>
        <v>0</v>
      </c>
      <c r="U202">
        <f>SmtRes!X262</f>
        <v>-941081254</v>
      </c>
      <c r="V202">
        <v>1991017595</v>
      </c>
      <c r="W202">
        <v>1991017595</v>
      </c>
      <c r="X202">
        <v>3</v>
      </c>
    </row>
    <row r="203" spans="1:24" x14ac:dyDescent="0.2">
      <c r="A203">
        <v>20</v>
      </c>
      <c r="B203">
        <v>258</v>
      </c>
      <c r="C203">
        <v>3</v>
      </c>
      <c r="D203">
        <v>0</v>
      </c>
      <c r="E203">
        <f>SmtRes!AV258</f>
        <v>0</v>
      </c>
      <c r="F203" t="str">
        <f>SmtRes!I258</f>
        <v>21.1-10-28</v>
      </c>
      <c r="G203" t="str">
        <f>SmtRes!K258</f>
        <v>Профили стальные электросварные квадратного сечения трубчатые, размер стороны 40 мм, толщина стенки 2 мм</v>
      </c>
      <c r="H203" t="str">
        <f>SmtRes!O258</f>
        <v>т</v>
      </c>
      <c r="I203">
        <f>SmtRes!Y258*Source!I523</f>
        <v>67.347999999999999</v>
      </c>
      <c r="J203">
        <f>SmtRes!AO258</f>
        <v>1</v>
      </c>
      <c r="K203">
        <f>SmtRes!AE258</f>
        <v>37537.54</v>
      </c>
      <c r="L203">
        <f>SmtRes!DB258</f>
        <v>5593.09</v>
      </c>
      <c r="M203">
        <f>ROUND(ROUND(L203*Source!I523, 6)*1, 2)</f>
        <v>2528076.6800000002</v>
      </c>
      <c r="N203">
        <f>SmtRes!AA258</f>
        <v>37537.54</v>
      </c>
      <c r="O203">
        <f>ROUND(ROUND(L203*Source!I523, 6)*SmtRes!DA258, 2)</f>
        <v>2528076.6800000002</v>
      </c>
      <c r="P203">
        <f>SmtRes!AG258</f>
        <v>0</v>
      </c>
      <c r="Q203">
        <f>SmtRes!DC258</f>
        <v>0</v>
      </c>
      <c r="R203">
        <f>ROUND(ROUND(Q203*Source!I523, 6)*1, 2)</f>
        <v>0</v>
      </c>
      <c r="S203">
        <f>SmtRes!AC258</f>
        <v>0</v>
      </c>
      <c r="T203">
        <f>ROUND(ROUND(Q203*Source!I523, 6)*SmtRes!AK258, 2)</f>
        <v>0</v>
      </c>
      <c r="U203">
        <f>SmtRes!X258</f>
        <v>609371884</v>
      </c>
      <c r="V203">
        <v>129491867</v>
      </c>
      <c r="W203">
        <v>129491867</v>
      </c>
      <c r="X203">
        <v>3</v>
      </c>
    </row>
    <row r="204" spans="1:24" x14ac:dyDescent="0.2">
      <c r="A204">
        <v>20</v>
      </c>
      <c r="B204">
        <v>257</v>
      </c>
      <c r="C204">
        <v>3</v>
      </c>
      <c r="D204">
        <v>0</v>
      </c>
      <c r="E204">
        <f>SmtRes!AV257</f>
        <v>0</v>
      </c>
      <c r="F204" t="str">
        <f>SmtRes!I257</f>
        <v>21.1-10-171</v>
      </c>
      <c r="G204" t="str">
        <f>SmtRes!K257</f>
        <v>Сталь полосовая, марка Ст1кп-Ст4кп, Ст1пс-Ст6пс, Ст1Гпс-Ст5Гпс, кипящая и полуспокойная,</v>
      </c>
      <c r="H204" t="str">
        <f>SmtRes!O257</f>
        <v>т</v>
      </c>
      <c r="I204">
        <f>SmtRes!Y257*Source!I523</f>
        <v>0.45652000000000004</v>
      </c>
      <c r="J204">
        <f>SmtRes!AO257</f>
        <v>1</v>
      </c>
      <c r="K204">
        <f>SmtRes!AE257</f>
        <v>38268.54</v>
      </c>
      <c r="L204">
        <f>SmtRes!DB257</f>
        <v>38.65</v>
      </c>
      <c r="M204">
        <f>ROUND(ROUND(L204*Source!I523, 6)*1, 2)</f>
        <v>17469.8</v>
      </c>
      <c r="N204">
        <f>SmtRes!AA257</f>
        <v>38268.54</v>
      </c>
      <c r="O204">
        <f>ROUND(ROUND(L204*Source!I523, 6)*SmtRes!DA257, 2)</f>
        <v>17469.8</v>
      </c>
      <c r="P204">
        <f>SmtRes!AG257</f>
        <v>0</v>
      </c>
      <c r="Q204">
        <f>SmtRes!DC257</f>
        <v>0</v>
      </c>
      <c r="R204">
        <f>ROUND(ROUND(Q204*Source!I523, 6)*1, 2)</f>
        <v>0</v>
      </c>
      <c r="S204">
        <f>SmtRes!AC257</f>
        <v>0</v>
      </c>
      <c r="T204">
        <f>ROUND(ROUND(Q204*Source!I523, 6)*SmtRes!AK257, 2)</f>
        <v>0</v>
      </c>
      <c r="U204">
        <f>SmtRes!X257</f>
        <v>950604455</v>
      </c>
      <c r="V204">
        <v>-2092792976</v>
      </c>
      <c r="W204">
        <v>-2092792976</v>
      </c>
      <c r="X204">
        <v>3</v>
      </c>
    </row>
    <row r="205" spans="1:24" x14ac:dyDescent="0.2">
      <c r="A205">
        <v>20</v>
      </c>
      <c r="B205">
        <v>256</v>
      </c>
      <c r="C205">
        <v>2</v>
      </c>
      <c r="D205">
        <v>0</v>
      </c>
      <c r="E205">
        <f>SmtRes!AV256</f>
        <v>0</v>
      </c>
      <c r="F205" t="str">
        <f>SmtRes!I256</f>
        <v>22.1-30-43</v>
      </c>
      <c r="G205" t="str">
        <f>SmtRes!K256</f>
        <v>Станки трубоотрезные</v>
      </c>
      <c r="H205" t="str">
        <f>SmtRes!O256</f>
        <v>маш.-ч</v>
      </c>
      <c r="I205">
        <f>SmtRes!Y256*Source!I523</f>
        <v>227.80799999999999</v>
      </c>
      <c r="J205">
        <f>SmtRes!AO256</f>
        <v>1</v>
      </c>
      <c r="K205">
        <f>SmtRes!AF256</f>
        <v>652.16</v>
      </c>
      <c r="L205">
        <f>SmtRes!DB256</f>
        <v>328.69</v>
      </c>
      <c r="M205">
        <f>ROUND(ROUND(L205*Source!I523, 6)*1, 2)</f>
        <v>148567.88</v>
      </c>
      <c r="N205">
        <f>SmtRes!AB256</f>
        <v>652.16</v>
      </c>
      <c r="O205">
        <f>ROUND(ROUND(L205*Source!I523, 6)*SmtRes!DA256, 2)</f>
        <v>148567.88</v>
      </c>
      <c r="P205">
        <f>SmtRes!AG256</f>
        <v>581.9</v>
      </c>
      <c r="Q205">
        <f>SmtRes!DC256</f>
        <v>293.27999999999997</v>
      </c>
      <c r="R205">
        <f>ROUND(ROUND(Q205*Source!I523, 6)*1, 2)</f>
        <v>132562.56</v>
      </c>
      <c r="S205">
        <f>SmtRes!AC256</f>
        <v>581.9</v>
      </c>
      <c r="T205">
        <f>ROUND(ROUND(Q205*Source!I523, 6)*SmtRes!AK256, 2)</f>
        <v>132562.56</v>
      </c>
      <c r="U205">
        <f>SmtRes!X256</f>
        <v>527566593</v>
      </c>
      <c r="V205">
        <v>953436950</v>
      </c>
      <c r="W205">
        <v>953436950</v>
      </c>
      <c r="X205">
        <v>2</v>
      </c>
    </row>
    <row r="206" spans="1:24" x14ac:dyDescent="0.2">
      <c r="A206">
        <v>20</v>
      </c>
      <c r="B206">
        <v>255</v>
      </c>
      <c r="C206">
        <v>2</v>
      </c>
      <c r="D206">
        <v>0</v>
      </c>
      <c r="E206">
        <f>SmtRes!AV255</f>
        <v>0</v>
      </c>
      <c r="F206" t="str">
        <f>SmtRes!I255</f>
        <v>22.1-30-19</v>
      </c>
      <c r="G206" t="str">
        <f>SmtRes!K255</f>
        <v>Машины шлифовальные электрические</v>
      </c>
      <c r="H206" t="str">
        <f>SmtRes!O255</f>
        <v>маш.-ч</v>
      </c>
      <c r="I206">
        <f>SmtRes!Y255*Source!I523</f>
        <v>51.980000000000004</v>
      </c>
      <c r="J206">
        <f>SmtRes!AO255</f>
        <v>1</v>
      </c>
      <c r="K206">
        <f>SmtRes!AF255</f>
        <v>5.94</v>
      </c>
      <c r="L206">
        <f>SmtRes!DB255</f>
        <v>0.68</v>
      </c>
      <c r="M206">
        <f>ROUND(ROUND(L206*Source!I523, 6)*1, 2)</f>
        <v>307.36</v>
      </c>
      <c r="N206">
        <f>SmtRes!AB255</f>
        <v>5.94</v>
      </c>
      <c r="O206">
        <f>ROUND(ROUND(L206*Source!I523, 6)*SmtRes!DA255, 2)</f>
        <v>307.36</v>
      </c>
      <c r="P206">
        <f>SmtRes!AG255</f>
        <v>0.02</v>
      </c>
      <c r="Q206">
        <f>SmtRes!DC255</f>
        <v>0</v>
      </c>
      <c r="R206">
        <f>ROUND(ROUND(Q206*Source!I523, 6)*1, 2)</f>
        <v>0</v>
      </c>
      <c r="S206">
        <f>SmtRes!AC255</f>
        <v>0.02</v>
      </c>
      <c r="T206">
        <f>ROUND(ROUND(Q206*Source!I523, 6)*SmtRes!AK255, 2)</f>
        <v>0</v>
      </c>
      <c r="U206">
        <f>SmtRes!X255</f>
        <v>-952080715</v>
      </c>
      <c r="V206">
        <v>1196876742</v>
      </c>
      <c r="W206">
        <v>1196876742</v>
      </c>
      <c r="X206">
        <v>2</v>
      </c>
    </row>
    <row r="207" spans="1:24" x14ac:dyDescent="0.2">
      <c r="A207">
        <v>20</v>
      </c>
      <c r="B207">
        <v>254</v>
      </c>
      <c r="C207">
        <v>2</v>
      </c>
      <c r="D207">
        <v>0</v>
      </c>
      <c r="E207">
        <f>SmtRes!AV254</f>
        <v>0</v>
      </c>
      <c r="F207" t="str">
        <f>SmtRes!I254</f>
        <v>22.1-13-15</v>
      </c>
      <c r="G207" t="str">
        <f>SmtRes!K254</f>
        <v>Аппараты сварочные</v>
      </c>
      <c r="H207" t="str">
        <f>SmtRes!O254</f>
        <v>маш.-ч</v>
      </c>
      <c r="I207">
        <f>SmtRes!Y254*Source!I523</f>
        <v>173.56800000000001</v>
      </c>
      <c r="J207">
        <f>SmtRes!AO254</f>
        <v>1</v>
      </c>
      <c r="K207">
        <f>SmtRes!AF254</f>
        <v>351.29</v>
      </c>
      <c r="L207">
        <f>SmtRes!DB254</f>
        <v>134.9</v>
      </c>
      <c r="M207">
        <f>ROUND(ROUND(L207*Source!I523, 6)*1, 2)</f>
        <v>60974.8</v>
      </c>
      <c r="N207">
        <f>SmtRes!AB254</f>
        <v>351.29</v>
      </c>
      <c r="O207">
        <f>ROUND(ROUND(L207*Source!I523, 6)*SmtRes!DA254, 2)</f>
        <v>60974.8</v>
      </c>
      <c r="P207">
        <f>SmtRes!AG254</f>
        <v>7.02</v>
      </c>
      <c r="Q207">
        <f>SmtRes!DC254</f>
        <v>2.7</v>
      </c>
      <c r="R207">
        <f>ROUND(ROUND(Q207*Source!I523, 6)*1, 2)</f>
        <v>1220.4000000000001</v>
      </c>
      <c r="S207">
        <f>SmtRes!AC254</f>
        <v>7.02</v>
      </c>
      <c r="T207">
        <f>ROUND(ROUND(Q207*Source!I523, 6)*SmtRes!AK254, 2)</f>
        <v>1220.4000000000001</v>
      </c>
      <c r="U207">
        <f>SmtRes!X254</f>
        <v>-1425251094</v>
      </c>
      <c r="V207">
        <v>1242154866</v>
      </c>
      <c r="W207">
        <v>1242154866</v>
      </c>
      <c r="X207">
        <v>2</v>
      </c>
    </row>
    <row r="208" spans="1:24" x14ac:dyDescent="0.2">
      <c r="A208">
        <f>Source!A524</f>
        <v>18</v>
      </c>
      <c r="B208">
        <v>524</v>
      </c>
      <c r="C208">
        <v>3</v>
      </c>
      <c r="D208">
        <f>Source!BI524</f>
        <v>4</v>
      </c>
      <c r="E208">
        <f>Source!FS524</f>
        <v>0</v>
      </c>
      <c r="F208" t="str">
        <f>Source!F524</f>
        <v>21.1-10-28</v>
      </c>
      <c r="G208" t="str">
        <f>Source!G524</f>
        <v>Профили стальные электросварные квадратного сечения трубчатые, размер стороны 40 мм, толщина стенки 2 мм</v>
      </c>
      <c r="H208" t="str">
        <f>Source!H524</f>
        <v>т</v>
      </c>
      <c r="I208">
        <f>Source!I524</f>
        <v>-67.347999999999999</v>
      </c>
      <c r="J208">
        <v>1</v>
      </c>
      <c r="K208">
        <f>Source!AC524</f>
        <v>37537.54</v>
      </c>
      <c r="M208">
        <f>ROUND(K208*I208, 2)</f>
        <v>-2528078.2400000002</v>
      </c>
      <c r="N208">
        <f>Source!AC524*IF(Source!BC524&lt;&gt; 0, Source!BC524, 1)</f>
        <v>37537.54</v>
      </c>
      <c r="O208">
        <f>ROUND(N208*I208, 2)</f>
        <v>-2528078.2400000002</v>
      </c>
      <c r="P208">
        <f>Source!AE524</f>
        <v>0</v>
      </c>
      <c r="R208">
        <f>ROUND(P208*I208, 2)</f>
        <v>0</v>
      </c>
      <c r="S208">
        <f>Source!AE524*IF(Source!BS524&lt;&gt; 0, Source!BS524, 1)</f>
        <v>0</v>
      </c>
      <c r="T208">
        <f>ROUND(S208*I208, 2)</f>
        <v>0</v>
      </c>
      <c r="U208">
        <f>Source!GF524</f>
        <v>609371884</v>
      </c>
      <c r="V208">
        <v>129491867</v>
      </c>
      <c r="W208">
        <v>129491867</v>
      </c>
      <c r="X208">
        <v>3</v>
      </c>
    </row>
    <row r="209" spans="1:24" x14ac:dyDescent="0.2">
      <c r="A209">
        <f>Source!A525</f>
        <v>18</v>
      </c>
      <c r="B209">
        <v>525</v>
      </c>
      <c r="C209">
        <v>3</v>
      </c>
      <c r="D209">
        <f>Source!BI525</f>
        <v>4</v>
      </c>
      <c r="E209">
        <f>Source!FS525</f>
        <v>0</v>
      </c>
      <c r="F209" t="str">
        <f>Source!F525</f>
        <v>21.1-10-69</v>
      </c>
      <c r="G209" t="str">
        <f>Source!G525</f>
        <v>Профили стальные электросварные прямоугольного сечения трубчатые, размер 20х50 мм, толщина стенки 2,0 мм</v>
      </c>
      <c r="H209" t="str">
        <f>Source!H525</f>
        <v>т</v>
      </c>
      <c r="I209">
        <f>Source!I525</f>
        <v>1.8520000000000001</v>
      </c>
      <c r="J209">
        <v>1</v>
      </c>
      <c r="K209">
        <f>Source!AC525</f>
        <v>39110.050000000003</v>
      </c>
      <c r="M209">
        <f>ROUND(K209*I209, 2)</f>
        <v>72431.81</v>
      </c>
      <c r="N209">
        <f>Source!AC525*IF(Source!BC525&lt;&gt; 0, Source!BC525, 1)</f>
        <v>39110.050000000003</v>
      </c>
      <c r="O209">
        <f>ROUND(N209*I209, 2)</f>
        <v>72431.81</v>
      </c>
      <c r="P209">
        <f>Source!AE525</f>
        <v>0</v>
      </c>
      <c r="R209">
        <f>ROUND(P209*I209, 2)</f>
        <v>0</v>
      </c>
      <c r="S209">
        <f>Source!AE525*IF(Source!BS525&lt;&gt; 0, Source!BS525, 1)</f>
        <v>0</v>
      </c>
      <c r="T209">
        <f>ROUND(S209*I209, 2)</f>
        <v>0</v>
      </c>
      <c r="U209">
        <f>Source!GF525</f>
        <v>-1866178365</v>
      </c>
      <c r="V209">
        <v>-563386750</v>
      </c>
      <c r="W209">
        <v>-563386750</v>
      </c>
      <c r="X209">
        <v>3</v>
      </c>
    </row>
    <row r="210" spans="1:24" x14ac:dyDescent="0.2">
      <c r="A210">
        <f>Source!A526</f>
        <v>18</v>
      </c>
      <c r="B210">
        <v>526</v>
      </c>
      <c r="C210">
        <v>3</v>
      </c>
      <c r="D210">
        <f>Source!BI526</f>
        <v>4</v>
      </c>
      <c r="E210">
        <f>Source!FS526</f>
        <v>0</v>
      </c>
      <c r="F210" t="str">
        <f>Source!F526</f>
        <v>21.1-10-34</v>
      </c>
      <c r="G210" t="str">
        <f>Source!G526</f>
        <v>Профили стальные электросварные квадратного сечения трубчатые, размер стороны 20 мм, толщина стенки 2 мм</v>
      </c>
      <c r="H210" t="str">
        <f>Source!H526</f>
        <v>т</v>
      </c>
      <c r="I210">
        <f>Source!I526</f>
        <v>2.6909999999999998</v>
      </c>
      <c r="J210">
        <v>1</v>
      </c>
      <c r="K210">
        <f>Source!AC526</f>
        <v>40597.550000000003</v>
      </c>
      <c r="M210">
        <f>ROUND(K210*I210, 2)</f>
        <v>109248.01</v>
      </c>
      <c r="N210">
        <f>Source!AC526*IF(Source!BC526&lt;&gt; 0, Source!BC526, 1)</f>
        <v>40597.550000000003</v>
      </c>
      <c r="O210">
        <f>ROUND(N210*I210, 2)</f>
        <v>109248.01</v>
      </c>
      <c r="P210">
        <f>Source!AE526</f>
        <v>0</v>
      </c>
      <c r="R210">
        <f>ROUND(P210*I210, 2)</f>
        <v>0</v>
      </c>
      <c r="S210">
        <f>Source!AE526*IF(Source!BS526&lt;&gt; 0, Source!BS526, 1)</f>
        <v>0</v>
      </c>
      <c r="T210">
        <f>ROUND(S210*I210, 2)</f>
        <v>0</v>
      </c>
      <c r="U210">
        <f>Source!GF526</f>
        <v>771913238</v>
      </c>
      <c r="V210">
        <v>-318016820</v>
      </c>
      <c r="W210">
        <v>-318016820</v>
      </c>
      <c r="X210">
        <v>3</v>
      </c>
    </row>
    <row r="211" spans="1:24" x14ac:dyDescent="0.2">
      <c r="A211">
        <v>20</v>
      </c>
      <c r="B211">
        <v>280</v>
      </c>
      <c r="C211">
        <v>3</v>
      </c>
      <c r="D211">
        <v>0</v>
      </c>
      <c r="E211">
        <f>SmtRes!AV280</f>
        <v>0</v>
      </c>
      <c r="F211" t="str">
        <f>SmtRes!I280</f>
        <v>21.1-4-31</v>
      </c>
      <c r="G211" t="str">
        <f>SmtRes!K280</f>
        <v>Пропан-бутан газообразный</v>
      </c>
      <c r="H211" t="str">
        <f>SmtRes!O280</f>
        <v>м3</v>
      </c>
      <c r="I211">
        <f>SmtRes!Y280*Source!I527</f>
        <v>0.33733000000000002</v>
      </c>
      <c r="J211">
        <f>SmtRes!AO280</f>
        <v>1</v>
      </c>
      <c r="K211">
        <f>SmtRes!AE280</f>
        <v>32.520000000000003</v>
      </c>
      <c r="L211">
        <f>SmtRes!DB280</f>
        <v>0.18</v>
      </c>
      <c r="M211">
        <f>ROUND(ROUND(L211*Source!I527, 6)*1, 2)</f>
        <v>10.98</v>
      </c>
      <c r="N211">
        <f>SmtRes!AA280</f>
        <v>32.520000000000003</v>
      </c>
      <c r="O211">
        <f>ROUND(ROUND(L211*Source!I527, 6)*SmtRes!DA280, 2)</f>
        <v>10.98</v>
      </c>
      <c r="P211">
        <f>SmtRes!AG280</f>
        <v>0</v>
      </c>
      <c r="Q211">
        <f>SmtRes!DC280</f>
        <v>0</v>
      </c>
      <c r="R211">
        <f>ROUND(ROUND(Q211*Source!I527, 6)*1, 2)</f>
        <v>0</v>
      </c>
      <c r="S211">
        <f>SmtRes!AC280</f>
        <v>0</v>
      </c>
      <c r="T211">
        <f>ROUND(ROUND(Q211*Source!I527, 6)*SmtRes!AK280, 2)</f>
        <v>0</v>
      </c>
      <c r="U211">
        <f>SmtRes!X280</f>
        <v>-611409894</v>
      </c>
      <c r="V211">
        <v>1367485125</v>
      </c>
      <c r="W211">
        <v>1367485125</v>
      </c>
      <c r="X211">
        <v>3</v>
      </c>
    </row>
    <row r="212" spans="1:24" x14ac:dyDescent="0.2">
      <c r="A212">
        <v>20</v>
      </c>
      <c r="B212">
        <v>279</v>
      </c>
      <c r="C212">
        <v>3</v>
      </c>
      <c r="D212">
        <v>0</v>
      </c>
      <c r="E212">
        <f>SmtRes!AV279</f>
        <v>0</v>
      </c>
      <c r="F212" t="str">
        <f>SmtRes!I279</f>
        <v>21.1-4-10</v>
      </c>
      <c r="G212" t="str">
        <f>SmtRes!K279</f>
        <v>Кислород технический газообразный</v>
      </c>
      <c r="H212" t="str">
        <f>SmtRes!O279</f>
        <v>м3</v>
      </c>
      <c r="I212">
        <f>SmtRes!Y279*Source!I527</f>
        <v>0.68320000000000003</v>
      </c>
      <c r="J212">
        <f>SmtRes!AO279</f>
        <v>1</v>
      </c>
      <c r="K212">
        <f>SmtRes!AE279</f>
        <v>53.38</v>
      </c>
      <c r="L212">
        <f>SmtRes!DB279</f>
        <v>0.6</v>
      </c>
      <c r="M212">
        <f>ROUND(ROUND(L212*Source!I527, 6)*1, 2)</f>
        <v>36.6</v>
      </c>
      <c r="N212">
        <f>SmtRes!AA279</f>
        <v>53.38</v>
      </c>
      <c r="O212">
        <f>ROUND(ROUND(L212*Source!I527, 6)*SmtRes!DA279, 2)</f>
        <v>36.6</v>
      </c>
      <c r="P212">
        <f>SmtRes!AG279</f>
        <v>0</v>
      </c>
      <c r="Q212">
        <f>SmtRes!DC279</f>
        <v>0</v>
      </c>
      <c r="R212">
        <f>ROUND(ROUND(Q212*Source!I527, 6)*1, 2)</f>
        <v>0</v>
      </c>
      <c r="S212">
        <f>SmtRes!AC279</f>
        <v>0</v>
      </c>
      <c r="T212">
        <f>ROUND(ROUND(Q212*Source!I527, 6)*SmtRes!AK279, 2)</f>
        <v>0</v>
      </c>
      <c r="U212">
        <f>SmtRes!X279</f>
        <v>-617769218</v>
      </c>
      <c r="V212">
        <v>-833209200</v>
      </c>
      <c r="W212">
        <v>-833209200</v>
      </c>
      <c r="X212">
        <v>3</v>
      </c>
    </row>
    <row r="213" spans="1:24" x14ac:dyDescent="0.2">
      <c r="A213">
        <v>20</v>
      </c>
      <c r="B213">
        <v>277</v>
      </c>
      <c r="C213">
        <v>3</v>
      </c>
      <c r="D213">
        <v>0</v>
      </c>
      <c r="E213">
        <f>SmtRes!AV277</f>
        <v>0</v>
      </c>
      <c r="F213" t="str">
        <f>SmtRes!I277</f>
        <v>21.12-6-5</v>
      </c>
      <c r="G213" t="str">
        <f>SmtRes!K277</f>
        <v>Трубы стальные бесшовные холоднодеформированные из стали марок 10, 20, 30, 45, ГОСТ 8734-75, 8733-74, наружный диаметр 150 мм, толщина стенки 4мм</v>
      </c>
      <c r="H213" t="str">
        <f>SmtRes!O277</f>
        <v>м</v>
      </c>
      <c r="I213">
        <f>SmtRes!Y277*Source!I527</f>
        <v>152.5</v>
      </c>
      <c r="J213">
        <f>SmtRes!AO277</f>
        <v>1</v>
      </c>
      <c r="K213">
        <f>SmtRes!AE277</f>
        <v>1312.08</v>
      </c>
      <c r="L213">
        <f>SmtRes!DB277</f>
        <v>3280.2</v>
      </c>
      <c r="M213">
        <f>ROUND(ROUND(L213*Source!I527, 6)*1, 2)</f>
        <v>200092.2</v>
      </c>
      <c r="N213">
        <f>SmtRes!AA277</f>
        <v>1312.08</v>
      </c>
      <c r="O213">
        <f>ROUND(ROUND(L213*Source!I527, 6)*SmtRes!DA277, 2)</f>
        <v>200092.2</v>
      </c>
      <c r="P213">
        <f>SmtRes!AG277</f>
        <v>0</v>
      </c>
      <c r="Q213">
        <f>SmtRes!DC277</f>
        <v>0</v>
      </c>
      <c r="R213">
        <f>ROUND(ROUND(Q213*Source!I527, 6)*1, 2)</f>
        <v>0</v>
      </c>
      <c r="S213">
        <f>SmtRes!AC277</f>
        <v>0</v>
      </c>
      <c r="T213">
        <f>ROUND(ROUND(Q213*Source!I527, 6)*SmtRes!AK277, 2)</f>
        <v>0</v>
      </c>
      <c r="U213">
        <f>SmtRes!X277</f>
        <v>1566889511</v>
      </c>
      <c r="V213">
        <v>1305171731</v>
      </c>
      <c r="W213">
        <v>1305171731</v>
      </c>
      <c r="X213">
        <v>3</v>
      </c>
    </row>
    <row r="214" spans="1:24" x14ac:dyDescent="0.2">
      <c r="A214">
        <v>20</v>
      </c>
      <c r="B214">
        <v>276</v>
      </c>
      <c r="C214">
        <v>3</v>
      </c>
      <c r="D214">
        <v>0</v>
      </c>
      <c r="E214">
        <f>SmtRes!AV276</f>
        <v>0</v>
      </c>
      <c r="F214" t="str">
        <f>SmtRes!I276</f>
        <v>21.1-25-13</v>
      </c>
      <c r="G214" t="str">
        <f>SmtRes!K276</f>
        <v>Вода</v>
      </c>
      <c r="H214" t="str">
        <f>SmtRes!O276</f>
        <v>м3</v>
      </c>
      <c r="I214">
        <f>SmtRes!Y276*Source!I527</f>
        <v>1.7933999999999999</v>
      </c>
      <c r="J214">
        <f>SmtRes!AO276</f>
        <v>1</v>
      </c>
      <c r="K214">
        <f>SmtRes!AE276</f>
        <v>35.25</v>
      </c>
      <c r="L214">
        <f>SmtRes!DB276</f>
        <v>1.04</v>
      </c>
      <c r="M214">
        <f>ROUND(ROUND(L214*Source!I527, 6)*1, 2)</f>
        <v>63.44</v>
      </c>
      <c r="N214">
        <f>SmtRes!AA276</f>
        <v>35.25</v>
      </c>
      <c r="O214">
        <f>ROUND(ROUND(L214*Source!I527, 6)*SmtRes!DA276, 2)</f>
        <v>63.44</v>
      </c>
      <c r="P214">
        <f>SmtRes!AG276</f>
        <v>0</v>
      </c>
      <c r="Q214">
        <f>SmtRes!DC276</f>
        <v>0</v>
      </c>
      <c r="R214">
        <f>ROUND(ROUND(Q214*Source!I527, 6)*1, 2)</f>
        <v>0</v>
      </c>
      <c r="S214">
        <f>SmtRes!AC276</f>
        <v>0</v>
      </c>
      <c r="T214">
        <f>ROUND(ROUND(Q214*Source!I527, 6)*SmtRes!AK276, 2)</f>
        <v>0</v>
      </c>
      <c r="U214">
        <f>SmtRes!X276</f>
        <v>2028445372</v>
      </c>
      <c r="V214">
        <v>1411454429</v>
      </c>
      <c r="W214">
        <v>1411454429</v>
      </c>
      <c r="X214">
        <v>3</v>
      </c>
    </row>
    <row r="215" spans="1:24" x14ac:dyDescent="0.2">
      <c r="A215">
        <v>20</v>
      </c>
      <c r="B215">
        <v>275</v>
      </c>
      <c r="C215">
        <v>3</v>
      </c>
      <c r="D215">
        <v>0</v>
      </c>
      <c r="E215">
        <f>SmtRes!AV275</f>
        <v>0</v>
      </c>
      <c r="F215" t="str">
        <f>SmtRes!I275</f>
        <v>21.1-2-13</v>
      </c>
      <c r="G215" t="str">
        <f>SmtRes!K275</f>
        <v>Цемент общестроительный, портландцемент общего назначения, марка 400</v>
      </c>
      <c r="H215" t="str">
        <f>SmtRes!O275</f>
        <v>т</v>
      </c>
      <c r="I215">
        <f>SmtRes!Y275*Source!I527</f>
        <v>2.4424399999999999</v>
      </c>
      <c r="J215">
        <f>SmtRes!AO275</f>
        <v>1</v>
      </c>
      <c r="K215">
        <f>SmtRes!AE275</f>
        <v>4207.5</v>
      </c>
      <c r="L215">
        <f>SmtRes!DB275</f>
        <v>168.47</v>
      </c>
      <c r="M215">
        <f>ROUND(ROUND(L215*Source!I527, 6)*1, 2)</f>
        <v>10276.67</v>
      </c>
      <c r="N215">
        <f>SmtRes!AA275</f>
        <v>4207.5</v>
      </c>
      <c r="O215">
        <f>ROUND(ROUND(L215*Source!I527, 6)*SmtRes!DA275, 2)</f>
        <v>10276.67</v>
      </c>
      <c r="P215">
        <f>SmtRes!AG275</f>
        <v>0</v>
      </c>
      <c r="Q215">
        <f>SmtRes!DC275</f>
        <v>0</v>
      </c>
      <c r="R215">
        <f>ROUND(ROUND(Q215*Source!I527, 6)*1, 2)</f>
        <v>0</v>
      </c>
      <c r="S215">
        <f>SmtRes!AC275</f>
        <v>0</v>
      </c>
      <c r="T215">
        <f>ROUND(ROUND(Q215*Source!I527, 6)*SmtRes!AK275, 2)</f>
        <v>0</v>
      </c>
      <c r="U215">
        <f>SmtRes!X275</f>
        <v>213373920</v>
      </c>
      <c r="V215">
        <v>-1263609757</v>
      </c>
      <c r="W215">
        <v>-1263609757</v>
      </c>
      <c r="X215">
        <v>3</v>
      </c>
    </row>
    <row r="216" spans="1:24" x14ac:dyDescent="0.2">
      <c r="A216">
        <v>20</v>
      </c>
      <c r="B216">
        <v>274</v>
      </c>
      <c r="C216">
        <v>3</v>
      </c>
      <c r="D216">
        <v>0</v>
      </c>
      <c r="E216">
        <f>SmtRes!AV274</f>
        <v>0</v>
      </c>
      <c r="F216" t="str">
        <f>SmtRes!I274</f>
        <v>21.1-12-30</v>
      </c>
      <c r="G216" t="str">
        <f>SmtRes!K274</f>
        <v>Щебень из естественного камня для строительных работ, марка 600-400, фракция 10-20 мм</v>
      </c>
      <c r="H216" t="str">
        <f>SmtRes!O274</f>
        <v>м3</v>
      </c>
      <c r="I216">
        <f>SmtRes!Y274*Source!I527</f>
        <v>6.8319999999999999</v>
      </c>
      <c r="J216">
        <f>SmtRes!AO274</f>
        <v>1</v>
      </c>
      <c r="K216">
        <f>SmtRes!AE274</f>
        <v>1436.5</v>
      </c>
      <c r="L216">
        <f>SmtRes!DB274</f>
        <v>160.88999999999999</v>
      </c>
      <c r="M216">
        <f>ROUND(ROUND(L216*Source!I527, 6)*1, 2)</f>
        <v>9814.2900000000009</v>
      </c>
      <c r="N216">
        <f>SmtRes!AA274</f>
        <v>1436.5</v>
      </c>
      <c r="O216">
        <f>ROUND(ROUND(L216*Source!I527, 6)*SmtRes!DA274, 2)</f>
        <v>9814.2900000000009</v>
      </c>
      <c r="P216">
        <f>SmtRes!AG274</f>
        <v>0</v>
      </c>
      <c r="Q216">
        <f>SmtRes!DC274</f>
        <v>0</v>
      </c>
      <c r="R216">
        <f>ROUND(ROUND(Q216*Source!I527, 6)*1, 2)</f>
        <v>0</v>
      </c>
      <c r="S216">
        <f>SmtRes!AC274</f>
        <v>0</v>
      </c>
      <c r="T216">
        <f>ROUND(ROUND(Q216*Source!I527, 6)*SmtRes!AK274, 2)</f>
        <v>0</v>
      </c>
      <c r="U216">
        <f>SmtRes!X274</f>
        <v>789691504</v>
      </c>
      <c r="V216">
        <v>627052080</v>
      </c>
      <c r="W216">
        <v>627052080</v>
      </c>
      <c r="X216">
        <v>3</v>
      </c>
    </row>
    <row r="217" spans="1:24" x14ac:dyDescent="0.2">
      <c r="A217">
        <v>20</v>
      </c>
      <c r="B217">
        <v>273</v>
      </c>
      <c r="C217">
        <v>3</v>
      </c>
      <c r="D217">
        <v>0</v>
      </c>
      <c r="E217">
        <f>SmtRes!AV273</f>
        <v>0</v>
      </c>
      <c r="F217" t="str">
        <f>SmtRes!I273</f>
        <v>21.1-12-11</v>
      </c>
      <c r="G217" t="str">
        <f>SmtRes!K273</f>
        <v>Песок для строительных работ, рядовой</v>
      </c>
      <c r="H217" t="str">
        <f>SmtRes!O273</f>
        <v>м3</v>
      </c>
      <c r="I217">
        <f>SmtRes!Y273*Source!I527</f>
        <v>6.1000000000000005</v>
      </c>
      <c r="J217">
        <f>SmtRes!AO273</f>
        <v>1</v>
      </c>
      <c r="K217">
        <f>SmtRes!AE273</f>
        <v>590.78</v>
      </c>
      <c r="L217">
        <f>SmtRes!DB273</f>
        <v>59.08</v>
      </c>
      <c r="M217">
        <f>ROUND(ROUND(L217*Source!I527, 6)*1, 2)</f>
        <v>3603.88</v>
      </c>
      <c r="N217">
        <f>SmtRes!AA273</f>
        <v>590.78</v>
      </c>
      <c r="O217">
        <f>ROUND(ROUND(L217*Source!I527, 6)*SmtRes!DA273, 2)</f>
        <v>3603.88</v>
      </c>
      <c r="P217">
        <f>SmtRes!AG273</f>
        <v>0</v>
      </c>
      <c r="Q217">
        <f>SmtRes!DC273</f>
        <v>0</v>
      </c>
      <c r="R217">
        <f>ROUND(ROUND(Q217*Source!I527, 6)*1, 2)</f>
        <v>0</v>
      </c>
      <c r="S217">
        <f>SmtRes!AC273</f>
        <v>0</v>
      </c>
      <c r="T217">
        <f>ROUND(ROUND(Q217*Source!I527, 6)*SmtRes!AK273, 2)</f>
        <v>0</v>
      </c>
      <c r="U217">
        <f>SmtRes!X273</f>
        <v>-1662970571</v>
      </c>
      <c r="V217">
        <v>496958337</v>
      </c>
      <c r="W217">
        <v>496958337</v>
      </c>
      <c r="X217">
        <v>3</v>
      </c>
    </row>
    <row r="218" spans="1:24" x14ac:dyDescent="0.2">
      <c r="A218">
        <v>20</v>
      </c>
      <c r="B218">
        <v>271</v>
      </c>
      <c r="C218">
        <v>3</v>
      </c>
      <c r="D218">
        <v>0</v>
      </c>
      <c r="E218">
        <f>SmtRes!AV271</f>
        <v>0</v>
      </c>
      <c r="F218" t="str">
        <f>SmtRes!I271</f>
        <v>21.1-10-188</v>
      </c>
      <c r="G218" t="str">
        <f>SmtRes!K271</f>
        <v>Сталь тонколистовая, толщина до 4 мм, общего назначения, марка БСт1кп-БСт4кп, Ст1пс-Ст5пс, Ст3Гпс-Ст5Гпс</v>
      </c>
      <c r="H218" t="str">
        <f>SmtRes!O271</f>
        <v>т</v>
      </c>
      <c r="I218">
        <f>SmtRes!Y271*Source!I527</f>
        <v>1.4030000000000001E-2</v>
      </c>
      <c r="J218">
        <f>SmtRes!AO271</f>
        <v>1</v>
      </c>
      <c r="K218">
        <f>SmtRes!AE271</f>
        <v>37354.800000000003</v>
      </c>
      <c r="L218">
        <f>SmtRes!DB271</f>
        <v>8.59</v>
      </c>
      <c r="M218">
        <f>ROUND(ROUND(L218*Source!I527, 6)*1, 2)</f>
        <v>523.99</v>
      </c>
      <c r="N218">
        <f>SmtRes!AA271</f>
        <v>37354.800000000003</v>
      </c>
      <c r="O218">
        <f>ROUND(ROUND(L218*Source!I527, 6)*SmtRes!DA271, 2)</f>
        <v>523.99</v>
      </c>
      <c r="P218">
        <f>SmtRes!AG271</f>
        <v>0</v>
      </c>
      <c r="Q218">
        <f>SmtRes!DC271</f>
        <v>0</v>
      </c>
      <c r="R218">
        <f>ROUND(ROUND(Q218*Source!I527, 6)*1, 2)</f>
        <v>0</v>
      </c>
      <c r="S218">
        <f>SmtRes!AC271</f>
        <v>0</v>
      </c>
      <c r="T218">
        <f>ROUND(ROUND(Q218*Source!I527, 6)*SmtRes!AK271, 2)</f>
        <v>0</v>
      </c>
      <c r="U218">
        <f>SmtRes!X271</f>
        <v>302718651</v>
      </c>
      <c r="V218">
        <v>1810130949</v>
      </c>
      <c r="W218">
        <v>1810130949</v>
      </c>
      <c r="X218">
        <v>3</v>
      </c>
    </row>
    <row r="219" spans="1:24" x14ac:dyDescent="0.2">
      <c r="A219">
        <v>20</v>
      </c>
      <c r="B219">
        <v>270</v>
      </c>
      <c r="C219">
        <v>3</v>
      </c>
      <c r="D219">
        <v>0</v>
      </c>
      <c r="E219">
        <f>SmtRes!AV270</f>
        <v>0</v>
      </c>
      <c r="F219" t="str">
        <f>SmtRes!I270</f>
        <v>21.1-10-171</v>
      </c>
      <c r="G219" t="str">
        <f>SmtRes!K270</f>
        <v>Сталь полосовая, марка Ст1кп-Ст4кп, Ст1пс-Ст6пс, Ст1Гпс-Ст5Гпс, кипящая и полуспокойная,</v>
      </c>
      <c r="H219" t="str">
        <f>SmtRes!O270</f>
        <v>т</v>
      </c>
      <c r="I219">
        <f>SmtRes!Y270*Source!I527</f>
        <v>6.1610000000000005E-2</v>
      </c>
      <c r="J219">
        <f>SmtRes!AO270</f>
        <v>1</v>
      </c>
      <c r="K219">
        <f>SmtRes!AE270</f>
        <v>38268.54</v>
      </c>
      <c r="L219">
        <f>SmtRes!DB270</f>
        <v>38.65</v>
      </c>
      <c r="M219">
        <f>ROUND(ROUND(L219*Source!I527, 6)*1, 2)</f>
        <v>2357.65</v>
      </c>
      <c r="N219">
        <f>SmtRes!AA270</f>
        <v>38268.54</v>
      </c>
      <c r="O219">
        <f>ROUND(ROUND(L219*Source!I527, 6)*SmtRes!DA270, 2)</f>
        <v>2357.65</v>
      </c>
      <c r="P219">
        <f>SmtRes!AG270</f>
        <v>0</v>
      </c>
      <c r="Q219">
        <f>SmtRes!DC270</f>
        <v>0</v>
      </c>
      <c r="R219">
        <f>ROUND(ROUND(Q219*Source!I527, 6)*1, 2)</f>
        <v>0</v>
      </c>
      <c r="S219">
        <f>SmtRes!AC270</f>
        <v>0</v>
      </c>
      <c r="T219">
        <f>ROUND(ROUND(Q219*Source!I527, 6)*SmtRes!AK270, 2)</f>
        <v>0</v>
      </c>
      <c r="U219">
        <f>SmtRes!X270</f>
        <v>950604455</v>
      </c>
      <c r="V219">
        <v>-2092792976</v>
      </c>
      <c r="W219">
        <v>-2092792976</v>
      </c>
      <c r="X219">
        <v>3</v>
      </c>
    </row>
    <row r="220" spans="1:24" x14ac:dyDescent="0.2">
      <c r="A220">
        <v>20</v>
      </c>
      <c r="B220">
        <v>269</v>
      </c>
      <c r="C220">
        <v>2</v>
      </c>
      <c r="D220">
        <v>0</v>
      </c>
      <c r="E220">
        <f>SmtRes!AV269</f>
        <v>0</v>
      </c>
      <c r="F220" t="str">
        <f>SmtRes!I269</f>
        <v>22.1-9-1</v>
      </c>
      <c r="G220" t="str">
        <f>SmtRes!K269</f>
        <v>Машины бурильно-крановые на базе трактора, глубина бурения до 5 м</v>
      </c>
      <c r="H220" t="str">
        <f>SmtRes!O269</f>
        <v>маш.-ч</v>
      </c>
      <c r="I220">
        <f>SmtRes!Y269*Source!I527</f>
        <v>10.187000000000001</v>
      </c>
      <c r="J220">
        <f>SmtRes!AO269</f>
        <v>1</v>
      </c>
      <c r="K220">
        <f>SmtRes!AF269</f>
        <v>1289.26</v>
      </c>
      <c r="L220">
        <f>SmtRes!DB269</f>
        <v>215.31</v>
      </c>
      <c r="M220">
        <f>ROUND(ROUND(L220*Source!I527, 6)*1, 2)</f>
        <v>13133.91</v>
      </c>
      <c r="N220">
        <f>SmtRes!AB269</f>
        <v>1289.26</v>
      </c>
      <c r="O220">
        <f>ROUND(ROUND(L220*Source!I527, 6)*SmtRes!DA269, 2)</f>
        <v>13133.91</v>
      </c>
      <c r="P220">
        <f>SmtRes!AG269</f>
        <v>637.17999999999995</v>
      </c>
      <c r="Q220">
        <f>SmtRes!DC269</f>
        <v>106.41</v>
      </c>
      <c r="R220">
        <f>ROUND(ROUND(Q220*Source!I527, 6)*1, 2)</f>
        <v>6491.01</v>
      </c>
      <c r="S220">
        <f>SmtRes!AC269</f>
        <v>637.17999999999995</v>
      </c>
      <c r="T220">
        <f>ROUND(ROUND(Q220*Source!I527, 6)*SmtRes!AK269, 2)</f>
        <v>6491.01</v>
      </c>
      <c r="U220">
        <f>SmtRes!X269</f>
        <v>-1749865602</v>
      </c>
      <c r="V220">
        <v>-1784055919</v>
      </c>
      <c r="W220">
        <v>-1784055919</v>
      </c>
      <c r="X220">
        <v>2</v>
      </c>
    </row>
    <row r="221" spans="1:24" x14ac:dyDescent="0.2">
      <c r="A221">
        <v>20</v>
      </c>
      <c r="B221">
        <v>268</v>
      </c>
      <c r="C221">
        <v>2</v>
      </c>
      <c r="D221">
        <v>0</v>
      </c>
      <c r="E221">
        <f>SmtRes!AV268</f>
        <v>0</v>
      </c>
      <c r="F221" t="str">
        <f>SmtRes!I268</f>
        <v>22.1-6-52</v>
      </c>
      <c r="G221" t="str">
        <f>SmtRes!K268</f>
        <v>Вибраторы глубинные</v>
      </c>
      <c r="H221" t="str">
        <f>SmtRes!O268</f>
        <v>маш.-ч</v>
      </c>
      <c r="I221">
        <f>SmtRes!Y268*Source!I527</f>
        <v>10.187000000000001</v>
      </c>
      <c r="J221">
        <f>SmtRes!AO268</f>
        <v>1</v>
      </c>
      <c r="K221">
        <f>SmtRes!AF268</f>
        <v>10.82</v>
      </c>
      <c r="L221">
        <f>SmtRes!DB268</f>
        <v>1.81</v>
      </c>
      <c r="M221">
        <f>ROUND(ROUND(L221*Source!I527, 6)*1, 2)</f>
        <v>110.41</v>
      </c>
      <c r="N221">
        <f>SmtRes!AB268</f>
        <v>10.82</v>
      </c>
      <c r="O221">
        <f>ROUND(ROUND(L221*Source!I527, 6)*SmtRes!DA268, 2)</f>
        <v>110.41</v>
      </c>
      <c r="P221">
        <f>SmtRes!AG268</f>
        <v>2.97</v>
      </c>
      <c r="Q221">
        <f>SmtRes!DC268</f>
        <v>0.5</v>
      </c>
      <c r="R221">
        <f>ROUND(ROUND(Q221*Source!I527, 6)*1, 2)</f>
        <v>30.5</v>
      </c>
      <c r="S221">
        <f>SmtRes!AC268</f>
        <v>2.97</v>
      </c>
      <c r="T221">
        <f>ROUND(ROUND(Q221*Source!I527, 6)*SmtRes!AK268, 2)</f>
        <v>30.5</v>
      </c>
      <c r="U221">
        <f>SmtRes!X268</f>
        <v>-645837323</v>
      </c>
      <c r="V221">
        <v>-447847367</v>
      </c>
      <c r="W221">
        <v>-447847367</v>
      </c>
      <c r="X221">
        <v>2</v>
      </c>
    </row>
    <row r="222" spans="1:24" x14ac:dyDescent="0.2">
      <c r="A222">
        <v>20</v>
      </c>
      <c r="B222">
        <v>267</v>
      </c>
      <c r="C222">
        <v>2</v>
      </c>
      <c r="D222">
        <v>0</v>
      </c>
      <c r="E222">
        <f>SmtRes!AV267</f>
        <v>0</v>
      </c>
      <c r="F222" t="str">
        <f>SmtRes!I267</f>
        <v>22.1-6-21</v>
      </c>
      <c r="G222" t="str">
        <f>SmtRes!K267</f>
        <v>Бетоносмесители передвижные, емкость до 5 м3</v>
      </c>
      <c r="H222" t="str">
        <f>SmtRes!O267</f>
        <v>маш.-ч</v>
      </c>
      <c r="I222">
        <f>SmtRes!Y267*Source!I527</f>
        <v>6.2219999999999995</v>
      </c>
      <c r="J222">
        <f>SmtRes!AO267</f>
        <v>1</v>
      </c>
      <c r="K222">
        <f>SmtRes!AF267</f>
        <v>436.08</v>
      </c>
      <c r="L222">
        <f>SmtRes!DB267</f>
        <v>44.48</v>
      </c>
      <c r="M222">
        <f>ROUND(ROUND(L222*Source!I527, 6)*1, 2)</f>
        <v>2713.28</v>
      </c>
      <c r="N222">
        <f>SmtRes!AB267</f>
        <v>436.08</v>
      </c>
      <c r="O222">
        <f>ROUND(ROUND(L222*Source!I527, 6)*SmtRes!DA267, 2)</f>
        <v>2713.28</v>
      </c>
      <c r="P222">
        <f>SmtRes!AG267</f>
        <v>389.24</v>
      </c>
      <c r="Q222">
        <f>SmtRes!DC267</f>
        <v>39.700000000000003</v>
      </c>
      <c r="R222">
        <f>ROUND(ROUND(Q222*Source!I527, 6)*1, 2)</f>
        <v>2421.6999999999998</v>
      </c>
      <c r="S222">
        <f>SmtRes!AC267</f>
        <v>389.24</v>
      </c>
      <c r="T222">
        <f>ROUND(ROUND(Q222*Source!I527, 6)*SmtRes!AK267, 2)</f>
        <v>2421.6999999999998</v>
      </c>
      <c r="U222">
        <f>SmtRes!X267</f>
        <v>1126213602</v>
      </c>
      <c r="V222">
        <v>826204623</v>
      </c>
      <c r="W222">
        <v>826204623</v>
      </c>
      <c r="X222">
        <v>2</v>
      </c>
    </row>
    <row r="223" spans="1:24" x14ac:dyDescent="0.2">
      <c r="A223">
        <v>20</v>
      </c>
      <c r="B223">
        <v>266</v>
      </c>
      <c r="C223">
        <v>2</v>
      </c>
      <c r="D223">
        <v>0</v>
      </c>
      <c r="E223">
        <f>SmtRes!AV266</f>
        <v>0</v>
      </c>
      <c r="F223" t="str">
        <f>SmtRes!I266</f>
        <v>22.1-30-19</v>
      </c>
      <c r="G223" t="str">
        <f>SmtRes!K266</f>
        <v>Машины шлифовальные электрические</v>
      </c>
      <c r="H223" t="str">
        <f>SmtRes!O266</f>
        <v>маш.-ч</v>
      </c>
      <c r="I223">
        <f>SmtRes!Y266*Source!I527</f>
        <v>0.48799999999999999</v>
      </c>
      <c r="J223">
        <f>SmtRes!AO266</f>
        <v>1</v>
      </c>
      <c r="K223">
        <f>SmtRes!AF266</f>
        <v>5.94</v>
      </c>
      <c r="L223">
        <f>SmtRes!DB266</f>
        <v>0.05</v>
      </c>
      <c r="M223">
        <f>ROUND(ROUND(L223*Source!I527, 6)*1, 2)</f>
        <v>3.05</v>
      </c>
      <c r="N223">
        <f>SmtRes!AB266</f>
        <v>5.94</v>
      </c>
      <c r="O223">
        <f>ROUND(ROUND(L223*Source!I527, 6)*SmtRes!DA266, 2)</f>
        <v>3.05</v>
      </c>
      <c r="P223">
        <f>SmtRes!AG266</f>
        <v>0.02</v>
      </c>
      <c r="Q223">
        <f>SmtRes!DC266</f>
        <v>0</v>
      </c>
      <c r="R223">
        <f>ROUND(ROUND(Q223*Source!I527, 6)*1, 2)</f>
        <v>0</v>
      </c>
      <c r="S223">
        <f>SmtRes!AC266</f>
        <v>0.02</v>
      </c>
      <c r="T223">
        <f>ROUND(ROUND(Q223*Source!I527, 6)*SmtRes!AK266, 2)</f>
        <v>0</v>
      </c>
      <c r="U223">
        <f>SmtRes!X266</f>
        <v>-952080715</v>
      </c>
      <c r="V223">
        <v>1196876742</v>
      </c>
      <c r="W223">
        <v>1196876742</v>
      </c>
      <c r="X223">
        <v>2</v>
      </c>
    </row>
    <row r="224" spans="1:24" x14ac:dyDescent="0.2">
      <c r="A224">
        <v>20</v>
      </c>
      <c r="B224">
        <v>265</v>
      </c>
      <c r="C224">
        <v>2</v>
      </c>
      <c r="D224">
        <v>0</v>
      </c>
      <c r="E224">
        <f>SmtRes!AV265</f>
        <v>0</v>
      </c>
      <c r="F224" t="str">
        <f>SmtRes!I265</f>
        <v>22.1-13-16</v>
      </c>
      <c r="G224" t="str">
        <f>SmtRes!K265</f>
        <v>Аппараты для газовой сварки и резки</v>
      </c>
      <c r="H224" t="str">
        <f>SmtRes!O265</f>
        <v>маш.-ч</v>
      </c>
      <c r="I224">
        <f>SmtRes!Y265*Source!I527</f>
        <v>9.6989999999999998</v>
      </c>
      <c r="J224">
        <f>SmtRes!AO265</f>
        <v>1</v>
      </c>
      <c r="K224">
        <f>SmtRes!AF265</f>
        <v>6.29</v>
      </c>
      <c r="L224">
        <f>SmtRes!DB265</f>
        <v>1</v>
      </c>
      <c r="M224">
        <f>ROUND(ROUND(L224*Source!I527, 6)*1, 2)</f>
        <v>61</v>
      </c>
      <c r="N224">
        <f>SmtRes!AB265</f>
        <v>6.29</v>
      </c>
      <c r="O224">
        <f>ROUND(ROUND(L224*Source!I527, 6)*SmtRes!DA265, 2)</f>
        <v>61</v>
      </c>
      <c r="P224">
        <f>SmtRes!AG265</f>
        <v>0.14000000000000001</v>
      </c>
      <c r="Q224">
        <f>SmtRes!DC265</f>
        <v>0.02</v>
      </c>
      <c r="R224">
        <f>ROUND(ROUND(Q224*Source!I527, 6)*1, 2)</f>
        <v>1.22</v>
      </c>
      <c r="S224">
        <f>SmtRes!AC265</f>
        <v>0.14000000000000001</v>
      </c>
      <c r="T224">
        <f>ROUND(ROUND(Q224*Source!I527, 6)*SmtRes!AK265, 2)</f>
        <v>1.22</v>
      </c>
      <c r="U224">
        <f>SmtRes!X265</f>
        <v>1013184309</v>
      </c>
      <c r="V224">
        <v>-933967410</v>
      </c>
      <c r="W224">
        <v>-933967410</v>
      </c>
      <c r="X224">
        <v>2</v>
      </c>
    </row>
    <row r="225" spans="1:24" x14ac:dyDescent="0.2">
      <c r="A225">
        <f>Source!A528</f>
        <v>18</v>
      </c>
      <c r="B225">
        <v>528</v>
      </c>
      <c r="C225">
        <v>3</v>
      </c>
      <c r="D225">
        <f>Source!BI528</f>
        <v>4</v>
      </c>
      <c r="E225">
        <f>Source!FS528</f>
        <v>0</v>
      </c>
      <c r="F225" t="str">
        <f>Source!F528</f>
        <v>21.12-6-5</v>
      </c>
      <c r="G225" t="str">
        <f>Source!G528</f>
        <v>Трубы стальные бесшовные холоднодеформированные из стали марок 10, 20, 30, 45, ГОСТ 8734-75, 8733-74, наружный диаметр 150 мм, толщина стенки 4мм</v>
      </c>
      <c r="H225" t="str">
        <f>Source!H528</f>
        <v>м</v>
      </c>
      <c r="I225">
        <f>Source!I528</f>
        <v>-152.5</v>
      </c>
      <c r="J225">
        <v>1</v>
      </c>
      <c r="K225">
        <f>Source!AC528</f>
        <v>1312.08</v>
      </c>
      <c r="M225">
        <f>ROUND(K225*I225, 2)</f>
        <v>-200092.2</v>
      </c>
      <c r="N225">
        <f>Source!AC528*IF(Source!BC528&lt;&gt; 0, Source!BC528, 1)</f>
        <v>1312.08</v>
      </c>
      <c r="O225">
        <f>ROUND(N225*I225, 2)</f>
        <v>-200092.2</v>
      </c>
      <c r="P225">
        <f>Source!AE528</f>
        <v>0</v>
      </c>
      <c r="R225">
        <f>ROUND(P225*I225, 2)</f>
        <v>0</v>
      </c>
      <c r="S225">
        <f>Source!AE528*IF(Source!BS528&lt;&gt; 0, Source!BS528, 1)</f>
        <v>0</v>
      </c>
      <c r="T225">
        <f>ROUND(S225*I225, 2)</f>
        <v>0</v>
      </c>
      <c r="U225">
        <f>Source!GF528</f>
        <v>1566889511</v>
      </c>
      <c r="V225">
        <v>1305171731</v>
      </c>
      <c r="W225">
        <v>1305171731</v>
      </c>
      <c r="X225">
        <v>3</v>
      </c>
    </row>
    <row r="226" spans="1:24" x14ac:dyDescent="0.2">
      <c r="A226">
        <f>Source!A529</f>
        <v>18</v>
      </c>
      <c r="B226">
        <v>529</v>
      </c>
      <c r="C226">
        <v>3</v>
      </c>
      <c r="D226">
        <f>Source!BI529</f>
        <v>4</v>
      </c>
      <c r="E226">
        <f>Source!FS529</f>
        <v>0</v>
      </c>
      <c r="F226" t="str">
        <f>Source!F529</f>
        <v>21.1-10-47</v>
      </c>
      <c r="G226" t="str">
        <f>Source!G529</f>
        <v>Профили стальные электросварные квадратного сечения трубчатые, размер стороны 80 мм, толщина стенки 3-6 мм</v>
      </c>
      <c r="H226" t="str">
        <f>Source!H529</f>
        <v>т</v>
      </c>
      <c r="I226">
        <f>Source!I529</f>
        <v>1.71</v>
      </c>
      <c r="J226">
        <v>1</v>
      </c>
      <c r="K226">
        <f>Source!AC529</f>
        <v>37329.29</v>
      </c>
      <c r="M226">
        <f>ROUND(K226*I226, 2)</f>
        <v>63833.09</v>
      </c>
      <c r="N226">
        <f>Source!AC529*IF(Source!BC529&lt;&gt; 0, Source!BC529, 1)</f>
        <v>37329.29</v>
      </c>
      <c r="O226">
        <f>ROUND(N226*I226, 2)</f>
        <v>63833.09</v>
      </c>
      <c r="P226">
        <f>Source!AE529</f>
        <v>0</v>
      </c>
      <c r="R226">
        <f>ROUND(P226*I226, 2)</f>
        <v>0</v>
      </c>
      <c r="S226">
        <f>Source!AE529*IF(Source!BS529&lt;&gt; 0, Source!BS529, 1)</f>
        <v>0</v>
      </c>
      <c r="T226">
        <f>ROUND(S226*I226, 2)</f>
        <v>0</v>
      </c>
      <c r="U226">
        <f>Source!GF529</f>
        <v>209443868</v>
      </c>
      <c r="V226">
        <v>346107761</v>
      </c>
      <c r="W226">
        <v>346107761</v>
      </c>
      <c r="X226">
        <v>3</v>
      </c>
    </row>
    <row r="227" spans="1:24" x14ac:dyDescent="0.2">
      <c r="A227">
        <v>20</v>
      </c>
      <c r="B227">
        <v>288</v>
      </c>
      <c r="C227">
        <v>3</v>
      </c>
      <c r="D227">
        <v>0</v>
      </c>
      <c r="E227">
        <f>SmtRes!AV288</f>
        <v>0</v>
      </c>
      <c r="F227" t="str">
        <f>SmtRes!I288</f>
        <v>21.7-3-6</v>
      </c>
      <c r="G227" t="str">
        <f>SmtRes!K288</f>
        <v>Диск отрезной абразивный для резки по металлу, диаметр 125 мм</v>
      </c>
      <c r="H227" t="str">
        <f>SmtRes!O288</f>
        <v>шт.</v>
      </c>
      <c r="I227">
        <f>SmtRes!Y288*Source!I530</f>
        <v>0.14000000000000001</v>
      </c>
      <c r="J227">
        <f>SmtRes!AO288</f>
        <v>1</v>
      </c>
      <c r="K227">
        <f>SmtRes!AE288</f>
        <v>16.54</v>
      </c>
      <c r="L227">
        <f>SmtRes!DB288</f>
        <v>0.23</v>
      </c>
      <c r="M227">
        <f>ROUND(ROUND(L227*Source!I530, 6)*1, 2)</f>
        <v>2.2999999999999998</v>
      </c>
      <c r="N227">
        <f>SmtRes!AA288</f>
        <v>16.54</v>
      </c>
      <c r="O227">
        <f>ROUND(ROUND(L227*Source!I530, 6)*SmtRes!DA288, 2)</f>
        <v>2.2999999999999998</v>
      </c>
      <c r="P227">
        <f>SmtRes!AG288</f>
        <v>0</v>
      </c>
      <c r="Q227">
        <f>SmtRes!DC288</f>
        <v>0</v>
      </c>
      <c r="R227">
        <f>ROUND(ROUND(Q227*Source!I530, 6)*1, 2)</f>
        <v>0</v>
      </c>
      <c r="S227">
        <f>SmtRes!AC288</f>
        <v>0</v>
      </c>
      <c r="T227">
        <f>ROUND(ROUND(Q227*Source!I530, 6)*SmtRes!AK288, 2)</f>
        <v>0</v>
      </c>
      <c r="U227">
        <f>SmtRes!X288</f>
        <v>1030269180</v>
      </c>
      <c r="V227">
        <v>-886970170</v>
      </c>
      <c r="W227">
        <v>-886970170</v>
      </c>
      <c r="X227">
        <v>3</v>
      </c>
    </row>
    <row r="228" spans="1:24" x14ac:dyDescent="0.2">
      <c r="A228">
        <v>20</v>
      </c>
      <c r="B228">
        <v>287</v>
      </c>
      <c r="C228">
        <v>3</v>
      </c>
      <c r="D228">
        <v>0</v>
      </c>
      <c r="E228">
        <f>SmtRes!AV287</f>
        <v>0</v>
      </c>
      <c r="F228" t="str">
        <f>SmtRes!I287</f>
        <v>21.1-23-9</v>
      </c>
      <c r="G228" t="str">
        <f>SmtRes!K287</f>
        <v>Электроды, тип Э-42, 46, 50, диаметр 4 - 6 мм</v>
      </c>
      <c r="H228" t="str">
        <f>SmtRes!O287</f>
        <v>т</v>
      </c>
      <c r="I228">
        <f>SmtRes!Y287*Source!I530</f>
        <v>5.0000000000000001E-3</v>
      </c>
      <c r="J228">
        <f>SmtRes!AO287</f>
        <v>1</v>
      </c>
      <c r="K228">
        <f>SmtRes!AE287</f>
        <v>110781.14</v>
      </c>
      <c r="L228">
        <f>SmtRes!DB287</f>
        <v>55.39</v>
      </c>
      <c r="M228">
        <f>ROUND(ROUND(L228*Source!I530, 6)*1, 2)</f>
        <v>553.9</v>
      </c>
      <c r="N228">
        <f>SmtRes!AA287</f>
        <v>110781.14</v>
      </c>
      <c r="O228">
        <f>ROUND(ROUND(L228*Source!I530, 6)*SmtRes!DA287, 2)</f>
        <v>553.9</v>
      </c>
      <c r="P228">
        <f>SmtRes!AG287</f>
        <v>0</v>
      </c>
      <c r="Q228">
        <f>SmtRes!DC287</f>
        <v>0</v>
      </c>
      <c r="R228">
        <f>ROUND(ROUND(Q228*Source!I530, 6)*1, 2)</f>
        <v>0</v>
      </c>
      <c r="S228">
        <f>SmtRes!AC287</f>
        <v>0</v>
      </c>
      <c r="T228">
        <f>ROUND(ROUND(Q228*Source!I530, 6)*SmtRes!AK287, 2)</f>
        <v>0</v>
      </c>
      <c r="U228">
        <f>SmtRes!X287</f>
        <v>-941081254</v>
      </c>
      <c r="V228">
        <v>1991017595</v>
      </c>
      <c r="W228">
        <v>1991017595</v>
      </c>
      <c r="X228">
        <v>3</v>
      </c>
    </row>
    <row r="229" spans="1:24" x14ac:dyDescent="0.2">
      <c r="A229">
        <v>20</v>
      </c>
      <c r="B229">
        <v>286</v>
      </c>
      <c r="C229">
        <v>3</v>
      </c>
      <c r="D229">
        <v>0</v>
      </c>
      <c r="E229">
        <f>SmtRes!AV286</f>
        <v>0</v>
      </c>
      <c r="F229" t="str">
        <f>SmtRes!I286</f>
        <v>21.1-10-28</v>
      </c>
      <c r="G229" t="str">
        <f>SmtRes!K286</f>
        <v>Профили стальные электросварные квадратного сечения трубчатые, размер стороны 40 мм, толщина стенки 2 мм</v>
      </c>
      <c r="H229" t="str">
        <f>SmtRes!O286</f>
        <v>т</v>
      </c>
      <c r="I229">
        <f>SmtRes!Y286*Source!I530</f>
        <v>1.49</v>
      </c>
      <c r="J229">
        <f>SmtRes!AO286</f>
        <v>1</v>
      </c>
      <c r="K229">
        <f>SmtRes!AE286</f>
        <v>37537.54</v>
      </c>
      <c r="L229">
        <f>SmtRes!DB286</f>
        <v>5593.09</v>
      </c>
      <c r="M229">
        <f>ROUND(ROUND(L229*Source!I530, 6)*1, 2)</f>
        <v>55930.9</v>
      </c>
      <c r="N229">
        <f>SmtRes!AA286</f>
        <v>37537.54</v>
      </c>
      <c r="O229">
        <f>ROUND(ROUND(L229*Source!I530, 6)*SmtRes!DA286, 2)</f>
        <v>55930.9</v>
      </c>
      <c r="P229">
        <f>SmtRes!AG286</f>
        <v>0</v>
      </c>
      <c r="Q229">
        <f>SmtRes!DC286</f>
        <v>0</v>
      </c>
      <c r="R229">
        <f>ROUND(ROUND(Q229*Source!I530, 6)*1, 2)</f>
        <v>0</v>
      </c>
      <c r="S229">
        <f>SmtRes!AC286</f>
        <v>0</v>
      </c>
      <c r="T229">
        <f>ROUND(ROUND(Q229*Source!I530, 6)*SmtRes!AK286, 2)</f>
        <v>0</v>
      </c>
      <c r="U229">
        <f>SmtRes!X286</f>
        <v>609371884</v>
      </c>
      <c r="V229">
        <v>129491867</v>
      </c>
      <c r="W229">
        <v>129491867</v>
      </c>
      <c r="X229">
        <v>3</v>
      </c>
    </row>
    <row r="230" spans="1:24" x14ac:dyDescent="0.2">
      <c r="A230">
        <v>20</v>
      </c>
      <c r="B230">
        <v>285</v>
      </c>
      <c r="C230">
        <v>3</v>
      </c>
      <c r="D230">
        <v>0</v>
      </c>
      <c r="E230">
        <f>SmtRes!AV285</f>
        <v>0</v>
      </c>
      <c r="F230" t="str">
        <f>SmtRes!I285</f>
        <v>21.1-10-171</v>
      </c>
      <c r="G230" t="str">
        <f>SmtRes!K285</f>
        <v>Сталь полосовая, марка Ст1кп-Ст4кп, Ст1пс-Ст6пс, Ст1Гпс-Ст5Гпс, кипящая и полуспокойная,</v>
      </c>
      <c r="H230" t="str">
        <f>SmtRes!O285</f>
        <v>т</v>
      </c>
      <c r="I230">
        <f>SmtRes!Y285*Source!I530</f>
        <v>1.0100000000000001E-2</v>
      </c>
      <c r="J230">
        <f>SmtRes!AO285</f>
        <v>1</v>
      </c>
      <c r="K230">
        <f>SmtRes!AE285</f>
        <v>38268.54</v>
      </c>
      <c r="L230">
        <f>SmtRes!DB285</f>
        <v>38.65</v>
      </c>
      <c r="M230">
        <f>ROUND(ROUND(L230*Source!I530, 6)*1, 2)</f>
        <v>386.5</v>
      </c>
      <c r="N230">
        <f>SmtRes!AA285</f>
        <v>38268.54</v>
      </c>
      <c r="O230">
        <f>ROUND(ROUND(L230*Source!I530, 6)*SmtRes!DA285, 2)</f>
        <v>386.5</v>
      </c>
      <c r="P230">
        <f>SmtRes!AG285</f>
        <v>0</v>
      </c>
      <c r="Q230">
        <f>SmtRes!DC285</f>
        <v>0</v>
      </c>
      <c r="R230">
        <f>ROUND(ROUND(Q230*Source!I530, 6)*1, 2)</f>
        <v>0</v>
      </c>
      <c r="S230">
        <f>SmtRes!AC285</f>
        <v>0</v>
      </c>
      <c r="T230">
        <f>ROUND(ROUND(Q230*Source!I530, 6)*SmtRes!AK285, 2)</f>
        <v>0</v>
      </c>
      <c r="U230">
        <f>SmtRes!X285</f>
        <v>950604455</v>
      </c>
      <c r="V230">
        <v>-2092792976</v>
      </c>
      <c r="W230">
        <v>-2092792976</v>
      </c>
      <c r="X230">
        <v>3</v>
      </c>
    </row>
    <row r="231" spans="1:24" x14ac:dyDescent="0.2">
      <c r="A231">
        <v>20</v>
      </c>
      <c r="B231">
        <v>284</v>
      </c>
      <c r="C231">
        <v>2</v>
      </c>
      <c r="D231">
        <v>0</v>
      </c>
      <c r="E231">
        <f>SmtRes!AV284</f>
        <v>0</v>
      </c>
      <c r="F231" t="str">
        <f>SmtRes!I284</f>
        <v>22.1-30-43</v>
      </c>
      <c r="G231" t="str">
        <f>SmtRes!K284</f>
        <v>Станки трубоотрезные</v>
      </c>
      <c r="H231" t="str">
        <f>SmtRes!O284</f>
        <v>маш.-ч</v>
      </c>
      <c r="I231">
        <f>SmtRes!Y284*Source!I530</f>
        <v>5.04</v>
      </c>
      <c r="J231">
        <f>SmtRes!AO284</f>
        <v>1</v>
      </c>
      <c r="K231">
        <f>SmtRes!AF284</f>
        <v>652.16</v>
      </c>
      <c r="L231">
        <f>SmtRes!DB284</f>
        <v>328.69</v>
      </c>
      <c r="M231">
        <f>ROUND(ROUND(L231*Source!I530, 6)*1, 2)</f>
        <v>3286.9</v>
      </c>
      <c r="N231">
        <f>SmtRes!AB284</f>
        <v>652.16</v>
      </c>
      <c r="O231">
        <f>ROUND(ROUND(L231*Source!I530, 6)*SmtRes!DA284, 2)</f>
        <v>3286.9</v>
      </c>
      <c r="P231">
        <f>SmtRes!AG284</f>
        <v>581.9</v>
      </c>
      <c r="Q231">
        <f>SmtRes!DC284</f>
        <v>293.27999999999997</v>
      </c>
      <c r="R231">
        <f>ROUND(ROUND(Q231*Source!I530, 6)*1, 2)</f>
        <v>2932.8</v>
      </c>
      <c r="S231">
        <f>SmtRes!AC284</f>
        <v>581.9</v>
      </c>
      <c r="T231">
        <f>ROUND(ROUND(Q231*Source!I530, 6)*SmtRes!AK284, 2)</f>
        <v>2932.8</v>
      </c>
      <c r="U231">
        <f>SmtRes!X284</f>
        <v>527566593</v>
      </c>
      <c r="V231">
        <v>953436950</v>
      </c>
      <c r="W231">
        <v>953436950</v>
      </c>
      <c r="X231">
        <v>2</v>
      </c>
    </row>
    <row r="232" spans="1:24" x14ac:dyDescent="0.2">
      <c r="A232">
        <v>20</v>
      </c>
      <c r="B232">
        <v>283</v>
      </c>
      <c r="C232">
        <v>2</v>
      </c>
      <c r="D232">
        <v>0</v>
      </c>
      <c r="E232">
        <f>SmtRes!AV283</f>
        <v>0</v>
      </c>
      <c r="F232" t="str">
        <f>SmtRes!I283</f>
        <v>22.1-30-19</v>
      </c>
      <c r="G232" t="str">
        <f>SmtRes!K283</f>
        <v>Машины шлифовальные электрические</v>
      </c>
      <c r="H232" t="str">
        <f>SmtRes!O283</f>
        <v>маш.-ч</v>
      </c>
      <c r="I232">
        <f>SmtRes!Y283*Source!I530</f>
        <v>1.1500000000000001</v>
      </c>
      <c r="J232">
        <f>SmtRes!AO283</f>
        <v>1</v>
      </c>
      <c r="K232">
        <f>SmtRes!AF283</f>
        <v>5.94</v>
      </c>
      <c r="L232">
        <f>SmtRes!DB283</f>
        <v>0.68</v>
      </c>
      <c r="M232">
        <f>ROUND(ROUND(L232*Source!I530, 6)*1, 2)</f>
        <v>6.8</v>
      </c>
      <c r="N232">
        <f>SmtRes!AB283</f>
        <v>5.94</v>
      </c>
      <c r="O232">
        <f>ROUND(ROUND(L232*Source!I530, 6)*SmtRes!DA283, 2)</f>
        <v>6.8</v>
      </c>
      <c r="P232">
        <f>SmtRes!AG283</f>
        <v>0.02</v>
      </c>
      <c r="Q232">
        <f>SmtRes!DC283</f>
        <v>0</v>
      </c>
      <c r="R232">
        <f>ROUND(ROUND(Q232*Source!I530, 6)*1, 2)</f>
        <v>0</v>
      </c>
      <c r="S232">
        <f>SmtRes!AC283</f>
        <v>0.02</v>
      </c>
      <c r="T232">
        <f>ROUND(ROUND(Q232*Source!I530, 6)*SmtRes!AK283, 2)</f>
        <v>0</v>
      </c>
      <c r="U232">
        <f>SmtRes!X283</f>
        <v>-952080715</v>
      </c>
      <c r="V232">
        <v>1196876742</v>
      </c>
      <c r="W232">
        <v>1196876742</v>
      </c>
      <c r="X232">
        <v>2</v>
      </c>
    </row>
    <row r="233" spans="1:24" x14ac:dyDescent="0.2">
      <c r="A233">
        <v>20</v>
      </c>
      <c r="B233">
        <v>282</v>
      </c>
      <c r="C233">
        <v>2</v>
      </c>
      <c r="D233">
        <v>0</v>
      </c>
      <c r="E233">
        <f>SmtRes!AV282</f>
        <v>0</v>
      </c>
      <c r="F233" t="str">
        <f>SmtRes!I282</f>
        <v>22.1-13-15</v>
      </c>
      <c r="G233" t="str">
        <f>SmtRes!K282</f>
        <v>Аппараты сварочные</v>
      </c>
      <c r="H233" t="str">
        <f>SmtRes!O282</f>
        <v>маш.-ч</v>
      </c>
      <c r="I233">
        <f>SmtRes!Y282*Source!I530</f>
        <v>3.84</v>
      </c>
      <c r="J233">
        <f>SmtRes!AO282</f>
        <v>1</v>
      </c>
      <c r="K233">
        <f>SmtRes!AF282</f>
        <v>351.29</v>
      </c>
      <c r="L233">
        <f>SmtRes!DB282</f>
        <v>134.9</v>
      </c>
      <c r="M233">
        <f>ROUND(ROUND(L233*Source!I530, 6)*1, 2)</f>
        <v>1349</v>
      </c>
      <c r="N233">
        <f>SmtRes!AB282</f>
        <v>351.29</v>
      </c>
      <c r="O233">
        <f>ROUND(ROUND(L233*Source!I530, 6)*SmtRes!DA282, 2)</f>
        <v>1349</v>
      </c>
      <c r="P233">
        <f>SmtRes!AG282</f>
        <v>7.02</v>
      </c>
      <c r="Q233">
        <f>SmtRes!DC282</f>
        <v>2.7</v>
      </c>
      <c r="R233">
        <f>ROUND(ROUND(Q233*Source!I530, 6)*1, 2)</f>
        <v>27</v>
      </c>
      <c r="S233">
        <f>SmtRes!AC282</f>
        <v>7.02</v>
      </c>
      <c r="T233">
        <f>ROUND(ROUND(Q233*Source!I530, 6)*SmtRes!AK282, 2)</f>
        <v>27</v>
      </c>
      <c r="U233">
        <f>SmtRes!X282</f>
        <v>-1425251094</v>
      </c>
      <c r="V233">
        <v>1242154866</v>
      </c>
      <c r="W233">
        <v>1242154866</v>
      </c>
      <c r="X233">
        <v>2</v>
      </c>
    </row>
    <row r="234" spans="1:24" x14ac:dyDescent="0.2">
      <c r="A234">
        <v>20</v>
      </c>
      <c r="B234">
        <v>291</v>
      </c>
      <c r="C234">
        <v>3</v>
      </c>
      <c r="D234">
        <v>0</v>
      </c>
      <c r="E234">
        <f>SmtRes!AV291</f>
        <v>0</v>
      </c>
      <c r="F234" t="str">
        <f>SmtRes!I291</f>
        <v>21.1-6-90</v>
      </c>
      <c r="G234" t="str">
        <f>SmtRes!K291</f>
        <v>Олифа для окраски комбинированная "Оксоль"</v>
      </c>
      <c r="H234" t="str">
        <f>SmtRes!O291</f>
        <v>кг</v>
      </c>
      <c r="I234">
        <f>SmtRes!Y291*Source!I531</f>
        <v>30.735999999999997</v>
      </c>
      <c r="J234">
        <f>SmtRes!AO291</f>
        <v>1</v>
      </c>
      <c r="K234">
        <f>SmtRes!AE291</f>
        <v>78.180000000000007</v>
      </c>
      <c r="L234">
        <f>SmtRes!DB291</f>
        <v>531.62</v>
      </c>
      <c r="M234">
        <f>ROUND(ROUND(L234*Source!I531, 6)*1, 2)</f>
        <v>2402.92</v>
      </c>
      <c r="N234">
        <f>SmtRes!AA291</f>
        <v>78.180000000000007</v>
      </c>
      <c r="O234">
        <f>ROUND(ROUND(L234*Source!I531, 6)*SmtRes!DA291, 2)</f>
        <v>2402.92</v>
      </c>
      <c r="P234">
        <f>SmtRes!AG291</f>
        <v>0</v>
      </c>
      <c r="Q234">
        <f>SmtRes!DC291</f>
        <v>0</v>
      </c>
      <c r="R234">
        <f>ROUND(ROUND(Q234*Source!I531, 6)*1, 2)</f>
        <v>0</v>
      </c>
      <c r="S234">
        <f>SmtRes!AC291</f>
        <v>0</v>
      </c>
      <c r="T234">
        <f>ROUND(ROUND(Q234*Source!I531, 6)*SmtRes!AK291, 2)</f>
        <v>0</v>
      </c>
      <c r="U234">
        <f>SmtRes!X291</f>
        <v>1572261892</v>
      </c>
      <c r="V234">
        <v>-691472310</v>
      </c>
      <c r="W234">
        <v>-691472310</v>
      </c>
      <c r="X234">
        <v>3</v>
      </c>
    </row>
    <row r="235" spans="1:24" x14ac:dyDescent="0.2">
      <c r="A235">
        <v>20</v>
      </c>
      <c r="B235">
        <v>290</v>
      </c>
      <c r="C235">
        <v>3</v>
      </c>
      <c r="D235">
        <v>0</v>
      </c>
      <c r="E235">
        <f>SmtRes!AV290</f>
        <v>0</v>
      </c>
      <c r="F235" t="str">
        <f>SmtRes!I290</f>
        <v>21.1-6-44</v>
      </c>
      <c r="G235" t="str">
        <f>SmtRes!K290</f>
        <v>Краски масляные жидкотертые цветные (готовые к употреблению) для наружных и внутренних работ, марка МА-15</v>
      </c>
      <c r="H235" t="str">
        <f>SmtRes!O290</f>
        <v>т</v>
      </c>
      <c r="I235">
        <f>SmtRes!Y290*Source!I531</f>
        <v>5.1075999999999989E-2</v>
      </c>
      <c r="J235">
        <f>SmtRes!AO290</f>
        <v>1</v>
      </c>
      <c r="K235">
        <f>SmtRes!AE290</f>
        <v>68627.56</v>
      </c>
      <c r="L235">
        <f>SmtRes!DB290</f>
        <v>775.49</v>
      </c>
      <c r="M235">
        <f>ROUND(ROUND(L235*Source!I531, 6)*1, 2)</f>
        <v>3505.21</v>
      </c>
      <c r="N235">
        <f>SmtRes!AA290</f>
        <v>68627.56</v>
      </c>
      <c r="O235">
        <f>ROUND(ROUND(L235*Source!I531, 6)*SmtRes!DA290, 2)</f>
        <v>3505.21</v>
      </c>
      <c r="P235">
        <f>SmtRes!AG290</f>
        <v>0</v>
      </c>
      <c r="Q235">
        <f>SmtRes!DC290</f>
        <v>0</v>
      </c>
      <c r="R235">
        <f>ROUND(ROUND(Q235*Source!I531, 6)*1, 2)</f>
        <v>0</v>
      </c>
      <c r="S235">
        <f>SmtRes!AC290</f>
        <v>0</v>
      </c>
      <c r="T235">
        <f>ROUND(ROUND(Q235*Source!I531, 6)*SmtRes!AK290, 2)</f>
        <v>0</v>
      </c>
      <c r="U235">
        <f>SmtRes!X290</f>
        <v>-1653882522</v>
      </c>
      <c r="V235">
        <v>1323940177</v>
      </c>
      <c r="W235">
        <v>1323940177</v>
      </c>
      <c r="X235">
        <v>3</v>
      </c>
    </row>
    <row r="236" spans="1:24" x14ac:dyDescent="0.2">
      <c r="A236">
        <v>20</v>
      </c>
      <c r="B236">
        <v>305</v>
      </c>
      <c r="C236">
        <v>3</v>
      </c>
      <c r="D236">
        <v>0</v>
      </c>
      <c r="E236">
        <f>SmtRes!AV305</f>
        <v>0</v>
      </c>
      <c r="F236" t="str">
        <f>SmtRes!I305</f>
        <v>21.7-12-4</v>
      </c>
      <c r="G236" t="str">
        <f>SmtRes!K305</f>
        <v>Профили алюминиевые системы AGS 150, ширина 49 мм, прижимы</v>
      </c>
      <c r="H236" t="str">
        <f>SmtRes!O305</f>
        <v>м</v>
      </c>
      <c r="I236">
        <f>SmtRes!Y305*Source!I532</f>
        <v>217.45719999999997</v>
      </c>
      <c r="J236">
        <f>SmtRes!AO305</f>
        <v>1</v>
      </c>
      <c r="K236">
        <f>SmtRes!AE305</f>
        <v>149.85</v>
      </c>
      <c r="L236">
        <f>SmtRes!DB305</f>
        <v>7209.28</v>
      </c>
      <c r="M236">
        <f>ROUND(ROUND(L236*Source!I532, 6)*1, 2)</f>
        <v>32585.95</v>
      </c>
      <c r="N236">
        <f>SmtRes!AA305</f>
        <v>149.85</v>
      </c>
      <c r="O236">
        <f>ROUND(ROUND(L236*Source!I532, 6)*SmtRes!DA305, 2)</f>
        <v>32585.95</v>
      </c>
      <c r="P236">
        <f>SmtRes!AG305</f>
        <v>0</v>
      </c>
      <c r="Q236">
        <f>SmtRes!DC305</f>
        <v>0</v>
      </c>
      <c r="R236">
        <f>ROUND(ROUND(Q236*Source!I532, 6)*1, 2)</f>
        <v>0</v>
      </c>
      <c r="S236">
        <f>SmtRes!AC305</f>
        <v>0</v>
      </c>
      <c r="T236">
        <f>ROUND(ROUND(Q236*Source!I532, 6)*SmtRes!AK305, 2)</f>
        <v>0</v>
      </c>
      <c r="U236">
        <f>SmtRes!X305</f>
        <v>-1018017737</v>
      </c>
      <c r="V236">
        <v>-1294930295</v>
      </c>
      <c r="W236">
        <v>-1294930295</v>
      </c>
      <c r="X236">
        <v>3</v>
      </c>
    </row>
    <row r="237" spans="1:24" x14ac:dyDescent="0.2">
      <c r="A237">
        <v>20</v>
      </c>
      <c r="B237">
        <v>304</v>
      </c>
      <c r="C237">
        <v>3</v>
      </c>
      <c r="D237">
        <v>0</v>
      </c>
      <c r="E237">
        <f>SmtRes!AV304</f>
        <v>0</v>
      </c>
      <c r="F237" t="str">
        <f>SmtRes!I304</f>
        <v>21.7-12-3</v>
      </c>
      <c r="G237" t="str">
        <f>SmtRes!K304</f>
        <v>Профили алюминиевые системы AGS 150, ширина 51 мм, крышки</v>
      </c>
      <c r="H237" t="str">
        <f>SmtRes!O304</f>
        <v>м</v>
      </c>
      <c r="I237">
        <f>SmtRes!Y304*Source!I532</f>
        <v>217.45719999999997</v>
      </c>
      <c r="J237">
        <f>SmtRes!AO304</f>
        <v>1</v>
      </c>
      <c r="K237">
        <f>SmtRes!AE304</f>
        <v>69.680000000000007</v>
      </c>
      <c r="L237">
        <f>SmtRes!DB304</f>
        <v>3352.3</v>
      </c>
      <c r="M237">
        <f>ROUND(ROUND(L237*Source!I532, 6)*1, 2)</f>
        <v>15152.4</v>
      </c>
      <c r="N237">
        <f>SmtRes!AA304</f>
        <v>69.680000000000007</v>
      </c>
      <c r="O237">
        <f>ROUND(ROUND(L237*Source!I532, 6)*SmtRes!DA304, 2)</f>
        <v>15152.4</v>
      </c>
      <c r="P237">
        <f>SmtRes!AG304</f>
        <v>0</v>
      </c>
      <c r="Q237">
        <f>SmtRes!DC304</f>
        <v>0</v>
      </c>
      <c r="R237">
        <f>ROUND(ROUND(Q237*Source!I532, 6)*1, 2)</f>
        <v>0</v>
      </c>
      <c r="S237">
        <f>SmtRes!AC304</f>
        <v>0</v>
      </c>
      <c r="T237">
        <f>ROUND(ROUND(Q237*Source!I532, 6)*SmtRes!AK304, 2)</f>
        <v>0</v>
      </c>
      <c r="U237">
        <f>SmtRes!X304</f>
        <v>-602633205</v>
      </c>
      <c r="V237">
        <v>1475264531</v>
      </c>
      <c r="W237">
        <v>1475264531</v>
      </c>
      <c r="X237">
        <v>3</v>
      </c>
    </row>
    <row r="238" spans="1:24" x14ac:dyDescent="0.2">
      <c r="A238">
        <v>20</v>
      </c>
      <c r="B238">
        <v>303</v>
      </c>
      <c r="C238">
        <v>3</v>
      </c>
      <c r="D238">
        <v>0</v>
      </c>
      <c r="E238">
        <f>SmtRes!AV303</f>
        <v>0</v>
      </c>
      <c r="F238" t="str">
        <f>SmtRes!I303</f>
        <v>21.7-1-1</v>
      </c>
      <c r="G238" t="str">
        <f>SmtRes!K303</f>
        <v>Винты самонарезающие оцинкованные 5х20 мм</v>
      </c>
      <c r="H238" t="str">
        <f>SmtRes!O303</f>
        <v>100 шт.</v>
      </c>
      <c r="I238">
        <f>SmtRes!Y303*Source!I532</f>
        <v>24.679199999999998</v>
      </c>
      <c r="J238">
        <f>SmtRes!AO303</f>
        <v>1</v>
      </c>
      <c r="K238">
        <f>SmtRes!AE303</f>
        <v>241.19</v>
      </c>
      <c r="L238">
        <f>SmtRes!DB303</f>
        <v>1316.9</v>
      </c>
      <c r="M238">
        <f>ROUND(ROUND(L238*Source!I532, 6)*1, 2)</f>
        <v>5952.39</v>
      </c>
      <c r="N238">
        <f>SmtRes!AA303</f>
        <v>241.19</v>
      </c>
      <c r="O238">
        <f>ROUND(ROUND(L238*Source!I532, 6)*SmtRes!DA303, 2)</f>
        <v>5952.39</v>
      </c>
      <c r="P238">
        <f>SmtRes!AG303</f>
        <v>0</v>
      </c>
      <c r="Q238">
        <f>SmtRes!DC303</f>
        <v>0</v>
      </c>
      <c r="R238">
        <f>ROUND(ROUND(Q238*Source!I532, 6)*1, 2)</f>
        <v>0</v>
      </c>
      <c r="S238">
        <f>SmtRes!AC303</f>
        <v>0</v>
      </c>
      <c r="T238">
        <f>ROUND(ROUND(Q238*Source!I532, 6)*SmtRes!AK303, 2)</f>
        <v>0</v>
      </c>
      <c r="U238">
        <f>SmtRes!X303</f>
        <v>1745780889</v>
      </c>
      <c r="V238">
        <v>-1907681163</v>
      </c>
      <c r="W238">
        <v>-1907681163</v>
      </c>
      <c r="X238">
        <v>3</v>
      </c>
    </row>
    <row r="239" spans="1:24" x14ac:dyDescent="0.2">
      <c r="A239">
        <v>20</v>
      </c>
      <c r="B239">
        <v>302</v>
      </c>
      <c r="C239">
        <v>3</v>
      </c>
      <c r="D239">
        <v>0</v>
      </c>
      <c r="E239">
        <f>SmtRes!AV302</f>
        <v>0</v>
      </c>
      <c r="F239" t="str">
        <f>SmtRes!I302</f>
        <v>21.1-25-695</v>
      </c>
      <c r="G239" t="str">
        <f>SmtRes!K302</f>
        <v>Прокладки резиновые уплотнительные для профилей алюминиевых, ширина 60 мм</v>
      </c>
      <c r="H239" t="str">
        <f>SmtRes!O302</f>
        <v>м</v>
      </c>
      <c r="I239">
        <f>SmtRes!Y302*Source!I532</f>
        <v>217.45719999999997</v>
      </c>
      <c r="J239">
        <f>SmtRes!AO302</f>
        <v>1</v>
      </c>
      <c r="K239">
        <f>SmtRes!AE302</f>
        <v>153.38999999999999</v>
      </c>
      <c r="L239">
        <f>SmtRes!DB302</f>
        <v>7379.59</v>
      </c>
      <c r="M239">
        <f>ROUND(ROUND(L239*Source!I532, 6)*1, 2)</f>
        <v>33355.75</v>
      </c>
      <c r="N239">
        <f>SmtRes!AA302</f>
        <v>153.38999999999999</v>
      </c>
      <c r="O239">
        <f>ROUND(ROUND(L239*Source!I532, 6)*SmtRes!DA302, 2)</f>
        <v>33355.75</v>
      </c>
      <c r="P239">
        <f>SmtRes!AG302</f>
        <v>0</v>
      </c>
      <c r="Q239">
        <f>SmtRes!DC302</f>
        <v>0</v>
      </c>
      <c r="R239">
        <f>ROUND(ROUND(Q239*Source!I532, 6)*1, 2)</f>
        <v>0</v>
      </c>
      <c r="S239">
        <f>SmtRes!AC302</f>
        <v>0</v>
      </c>
      <c r="T239">
        <f>ROUND(ROUND(Q239*Source!I532, 6)*SmtRes!AK302, 2)</f>
        <v>0</v>
      </c>
      <c r="U239">
        <f>SmtRes!X302</f>
        <v>123616094</v>
      </c>
      <c r="V239">
        <v>319665718</v>
      </c>
      <c r="W239">
        <v>319665718</v>
      </c>
      <c r="X239">
        <v>3</v>
      </c>
    </row>
    <row r="240" spans="1:24" x14ac:dyDescent="0.2">
      <c r="A240">
        <v>20</v>
      </c>
      <c r="B240">
        <v>301</v>
      </c>
      <c r="C240">
        <v>3</v>
      </c>
      <c r="D240">
        <v>0</v>
      </c>
      <c r="E240">
        <f>SmtRes!AV301</f>
        <v>0</v>
      </c>
      <c r="F240" t="str">
        <f>SmtRes!I301</f>
        <v>21.1-25-694</v>
      </c>
      <c r="G240" t="str">
        <f>SmtRes!K301</f>
        <v>Прокладки резиновые уплотнительные для профилей алюминиевых, ширина 13,5 мм</v>
      </c>
      <c r="H240" t="str">
        <f>SmtRes!O301</f>
        <v>м</v>
      </c>
      <c r="I240">
        <f>SmtRes!Y301*Source!I532</f>
        <v>217.45719999999997</v>
      </c>
      <c r="J240">
        <f>SmtRes!AO301</f>
        <v>1</v>
      </c>
      <c r="K240">
        <f>SmtRes!AE301</f>
        <v>37.46</v>
      </c>
      <c r="L240">
        <f>SmtRes!DB301</f>
        <v>1802.2</v>
      </c>
      <c r="M240">
        <f>ROUND(ROUND(L240*Source!I532, 6)*1, 2)</f>
        <v>8145.94</v>
      </c>
      <c r="N240">
        <f>SmtRes!AA301</f>
        <v>37.46</v>
      </c>
      <c r="O240">
        <f>ROUND(ROUND(L240*Source!I532, 6)*SmtRes!DA301, 2)</f>
        <v>8145.94</v>
      </c>
      <c r="P240">
        <f>SmtRes!AG301</f>
        <v>0</v>
      </c>
      <c r="Q240">
        <f>SmtRes!DC301</f>
        <v>0</v>
      </c>
      <c r="R240">
        <f>ROUND(ROUND(Q240*Source!I532, 6)*1, 2)</f>
        <v>0</v>
      </c>
      <c r="S240">
        <f>SmtRes!AC301</f>
        <v>0</v>
      </c>
      <c r="T240">
        <f>ROUND(ROUND(Q240*Source!I532, 6)*SmtRes!AK301, 2)</f>
        <v>0</v>
      </c>
      <c r="U240">
        <f>SmtRes!X301</f>
        <v>-1155863362</v>
      </c>
      <c r="V240">
        <v>90292372</v>
      </c>
      <c r="W240">
        <v>90292372</v>
      </c>
      <c r="X240">
        <v>3</v>
      </c>
    </row>
    <row r="241" spans="1:24" x14ac:dyDescent="0.2">
      <c r="A241">
        <v>20</v>
      </c>
      <c r="B241">
        <v>300</v>
      </c>
      <c r="C241">
        <v>3</v>
      </c>
      <c r="D241">
        <v>0</v>
      </c>
      <c r="E241">
        <f>SmtRes!AV300</f>
        <v>0</v>
      </c>
      <c r="F241" t="str">
        <f>SmtRes!I300</f>
        <v>21.1-25-691</v>
      </c>
      <c r="G241" t="str">
        <f>SmtRes!K300</f>
        <v>Термошайбы поликарбонатные для крепления поликарбоната к металлическим конструкциям</v>
      </c>
      <c r="H241" t="str">
        <f>SmtRes!O300</f>
        <v>100 шт.</v>
      </c>
      <c r="I241">
        <f>SmtRes!Y300*Source!I532</f>
        <v>4.1132</v>
      </c>
      <c r="J241">
        <f>SmtRes!AO300</f>
        <v>1</v>
      </c>
      <c r="K241">
        <f>SmtRes!AE300</f>
        <v>851.18</v>
      </c>
      <c r="L241">
        <f>SmtRes!DB300</f>
        <v>774.57</v>
      </c>
      <c r="M241">
        <f>ROUND(ROUND(L241*Source!I532, 6)*1, 2)</f>
        <v>3501.06</v>
      </c>
      <c r="N241">
        <f>SmtRes!AA300</f>
        <v>851.18</v>
      </c>
      <c r="O241">
        <f>ROUND(ROUND(L241*Source!I532, 6)*SmtRes!DA300, 2)</f>
        <v>3501.06</v>
      </c>
      <c r="P241">
        <f>SmtRes!AG300</f>
        <v>0</v>
      </c>
      <c r="Q241">
        <f>SmtRes!DC300</f>
        <v>0</v>
      </c>
      <c r="R241">
        <f>ROUND(ROUND(Q241*Source!I532, 6)*1, 2)</f>
        <v>0</v>
      </c>
      <c r="S241">
        <f>SmtRes!AC300</f>
        <v>0</v>
      </c>
      <c r="T241">
        <f>ROUND(ROUND(Q241*Source!I532, 6)*SmtRes!AK300, 2)</f>
        <v>0</v>
      </c>
      <c r="U241">
        <f>SmtRes!X300</f>
        <v>456507783</v>
      </c>
      <c r="V241">
        <v>-1158088069</v>
      </c>
      <c r="W241">
        <v>-1158088069</v>
      </c>
      <c r="X241">
        <v>3</v>
      </c>
    </row>
    <row r="242" spans="1:24" x14ac:dyDescent="0.2">
      <c r="A242">
        <v>20</v>
      </c>
      <c r="B242">
        <v>299</v>
      </c>
      <c r="C242">
        <v>3</v>
      </c>
      <c r="D242">
        <v>0</v>
      </c>
      <c r="E242">
        <f>SmtRes!AV299</f>
        <v>0</v>
      </c>
      <c r="F242" t="str">
        <f>SmtRes!I299</f>
        <v>21.1-25-1005</v>
      </c>
      <c r="G242" t="str">
        <f>SmtRes!K299</f>
        <v>Профили поликарбонатные торцевые для сотового поликарбоната толщиной 16 мм</v>
      </c>
      <c r="H242" t="str">
        <f>SmtRes!O299</f>
        <v>м</v>
      </c>
      <c r="I242">
        <f>SmtRes!Y299*Source!I532</f>
        <v>395.36439999999993</v>
      </c>
      <c r="J242">
        <f>SmtRes!AO299</f>
        <v>1</v>
      </c>
      <c r="K242">
        <f>SmtRes!AE299</f>
        <v>32.47</v>
      </c>
      <c r="L242">
        <f>SmtRes!DB299</f>
        <v>2840.15</v>
      </c>
      <c r="M242">
        <f>ROUND(ROUND(L242*Source!I532, 6)*1, 2)</f>
        <v>12837.48</v>
      </c>
      <c r="N242">
        <f>SmtRes!AA299</f>
        <v>32.47</v>
      </c>
      <c r="O242">
        <f>ROUND(ROUND(L242*Source!I532, 6)*SmtRes!DA299, 2)</f>
        <v>12837.48</v>
      </c>
      <c r="P242">
        <f>SmtRes!AG299</f>
        <v>0</v>
      </c>
      <c r="Q242">
        <f>SmtRes!DC299</f>
        <v>0</v>
      </c>
      <c r="R242">
        <f>ROUND(ROUND(Q242*Source!I532, 6)*1, 2)</f>
        <v>0</v>
      </c>
      <c r="S242">
        <f>SmtRes!AC299</f>
        <v>0</v>
      </c>
      <c r="T242">
        <f>ROUND(ROUND(Q242*Source!I532, 6)*SmtRes!AK299, 2)</f>
        <v>0</v>
      </c>
      <c r="U242">
        <f>SmtRes!X299</f>
        <v>-2092064226</v>
      </c>
      <c r="V242">
        <v>1904884534</v>
      </c>
      <c r="W242">
        <v>1904884534</v>
      </c>
      <c r="X242">
        <v>3</v>
      </c>
    </row>
    <row r="243" spans="1:24" x14ac:dyDescent="0.2">
      <c r="A243">
        <v>20</v>
      </c>
      <c r="B243">
        <v>298</v>
      </c>
      <c r="C243">
        <v>3</v>
      </c>
      <c r="D243">
        <v>0</v>
      </c>
      <c r="E243">
        <f>SmtRes!AV298</f>
        <v>0</v>
      </c>
      <c r="F243" t="str">
        <f>SmtRes!I298</f>
        <v>21.1-25-1000</v>
      </c>
      <c r="G243" t="str">
        <f>SmtRes!K298</f>
        <v>Пластик поликарбонатный ячеистый для остекления, толщина 16 мм</v>
      </c>
      <c r="H243" t="str">
        <f>SmtRes!O298</f>
        <v>м2</v>
      </c>
      <c r="I243">
        <f>SmtRes!Y298*Source!I532</f>
        <v>458.78</v>
      </c>
      <c r="J243">
        <f>SmtRes!AO298</f>
        <v>1</v>
      </c>
      <c r="K243">
        <f>SmtRes!AE298</f>
        <v>463.15</v>
      </c>
      <c r="L243">
        <f>SmtRes!DB298</f>
        <v>47009.73</v>
      </c>
      <c r="M243">
        <f>ROUND(ROUND(L243*Source!I532, 6)*1, 2)</f>
        <v>212483.98</v>
      </c>
      <c r="N243">
        <f>SmtRes!AA298</f>
        <v>463.15</v>
      </c>
      <c r="O243">
        <f>ROUND(ROUND(L243*Source!I532, 6)*SmtRes!DA298, 2)</f>
        <v>212483.98</v>
      </c>
      <c r="P243">
        <f>SmtRes!AG298</f>
        <v>0</v>
      </c>
      <c r="Q243">
        <f>SmtRes!DC298</f>
        <v>0</v>
      </c>
      <c r="R243">
        <f>ROUND(ROUND(Q243*Source!I532, 6)*1, 2)</f>
        <v>0</v>
      </c>
      <c r="S243">
        <f>SmtRes!AC298</f>
        <v>0</v>
      </c>
      <c r="T243">
        <f>ROUND(ROUND(Q243*Source!I532, 6)*SmtRes!AK298, 2)</f>
        <v>0</v>
      </c>
      <c r="U243">
        <f>SmtRes!X298</f>
        <v>-1911815546</v>
      </c>
      <c r="V243">
        <v>-74495873</v>
      </c>
      <c r="W243">
        <v>-74495873</v>
      </c>
      <c r="X243">
        <v>3</v>
      </c>
    </row>
    <row r="244" spans="1:24" x14ac:dyDescent="0.2">
      <c r="A244">
        <v>20</v>
      </c>
      <c r="B244">
        <v>297</v>
      </c>
      <c r="C244">
        <v>3</v>
      </c>
      <c r="D244">
        <v>0</v>
      </c>
      <c r="E244">
        <f>SmtRes!AV297</f>
        <v>0</v>
      </c>
      <c r="F244" t="str">
        <f>SmtRes!I297</f>
        <v>21.1-15-276</v>
      </c>
      <c r="G244" t="str">
        <f>SmtRes!K297</f>
        <v>Ленты герметизирующие алюминиевые самоклеящиеся для сотового поликарбоната толщиной  8 мм, ширина 25 мм, перфорированные</v>
      </c>
      <c r="H244" t="str">
        <f>SmtRes!O297</f>
        <v>м</v>
      </c>
      <c r="I244">
        <f>SmtRes!Y297*Source!I532</f>
        <v>197.65959999999995</v>
      </c>
      <c r="J244">
        <f>SmtRes!AO297</f>
        <v>1</v>
      </c>
      <c r="K244">
        <f>SmtRes!AE297</f>
        <v>32.99</v>
      </c>
      <c r="L244">
        <f>SmtRes!DB297</f>
        <v>1442.65</v>
      </c>
      <c r="M244">
        <f>ROUND(ROUND(L244*Source!I532, 6)*1, 2)</f>
        <v>6520.78</v>
      </c>
      <c r="N244">
        <f>SmtRes!AA297</f>
        <v>32.99</v>
      </c>
      <c r="O244">
        <f>ROUND(ROUND(L244*Source!I532, 6)*SmtRes!DA297, 2)</f>
        <v>6520.78</v>
      </c>
      <c r="P244">
        <f>SmtRes!AG297</f>
        <v>0</v>
      </c>
      <c r="Q244">
        <f>SmtRes!DC297</f>
        <v>0</v>
      </c>
      <c r="R244">
        <f>ROUND(ROUND(Q244*Source!I532, 6)*1, 2)</f>
        <v>0</v>
      </c>
      <c r="S244">
        <f>SmtRes!AC297</f>
        <v>0</v>
      </c>
      <c r="T244">
        <f>ROUND(ROUND(Q244*Source!I532, 6)*SmtRes!AK297, 2)</f>
        <v>0</v>
      </c>
      <c r="U244">
        <f>SmtRes!X297</f>
        <v>1705929729</v>
      </c>
      <c r="V244">
        <v>2025847436</v>
      </c>
      <c r="W244">
        <v>2025847436</v>
      </c>
      <c r="X244">
        <v>3</v>
      </c>
    </row>
    <row r="245" spans="1:24" x14ac:dyDescent="0.2">
      <c r="A245">
        <v>20</v>
      </c>
      <c r="B245">
        <v>296</v>
      </c>
      <c r="C245">
        <v>3</v>
      </c>
      <c r="D245">
        <v>0</v>
      </c>
      <c r="E245">
        <f>SmtRes!AV296</f>
        <v>0</v>
      </c>
      <c r="F245" t="str">
        <f>SmtRes!I296</f>
        <v>21.1-15-275</v>
      </c>
      <c r="G245" t="str">
        <f>SmtRes!K296</f>
        <v>Ленты герметизирующие алюминиевые самоклеящиеся для сотового поликарбоната толщиной 8 мм, ширина 25 мм, сплошные</v>
      </c>
      <c r="H245" t="str">
        <f>SmtRes!O296</f>
        <v>м</v>
      </c>
      <c r="I245">
        <f>SmtRes!Y296*Source!I532</f>
        <v>197.65959999999995</v>
      </c>
      <c r="J245">
        <f>SmtRes!AO296</f>
        <v>1</v>
      </c>
      <c r="K245">
        <f>SmtRes!AE296</f>
        <v>16.09</v>
      </c>
      <c r="L245">
        <f>SmtRes!DB296</f>
        <v>703.62</v>
      </c>
      <c r="M245">
        <f>ROUND(ROUND(L245*Source!I532, 6)*1, 2)</f>
        <v>3180.36</v>
      </c>
      <c r="N245">
        <f>SmtRes!AA296</f>
        <v>16.09</v>
      </c>
      <c r="O245">
        <f>ROUND(ROUND(L245*Source!I532, 6)*SmtRes!DA296, 2)</f>
        <v>3180.36</v>
      </c>
      <c r="P245">
        <f>SmtRes!AG296</f>
        <v>0</v>
      </c>
      <c r="Q245">
        <f>SmtRes!DC296</f>
        <v>0</v>
      </c>
      <c r="R245">
        <f>ROUND(ROUND(Q245*Source!I532, 6)*1, 2)</f>
        <v>0</v>
      </c>
      <c r="S245">
        <f>SmtRes!AC296</f>
        <v>0</v>
      </c>
      <c r="T245">
        <f>ROUND(ROUND(Q245*Source!I532, 6)*SmtRes!AK296, 2)</f>
        <v>0</v>
      </c>
      <c r="U245">
        <f>SmtRes!X296</f>
        <v>867992357</v>
      </c>
      <c r="V245">
        <v>-1431842482</v>
      </c>
      <c r="W245">
        <v>-1431842482</v>
      </c>
      <c r="X245">
        <v>3</v>
      </c>
    </row>
    <row r="246" spans="1:24" x14ac:dyDescent="0.2">
      <c r="A246">
        <v>20</v>
      </c>
      <c r="B246">
        <v>295</v>
      </c>
      <c r="C246">
        <v>2</v>
      </c>
      <c r="D246">
        <v>0</v>
      </c>
      <c r="E246">
        <f>SmtRes!AV295</f>
        <v>0</v>
      </c>
      <c r="F246" t="str">
        <f>SmtRes!I295</f>
        <v>22.1-30-56</v>
      </c>
      <c r="G246" t="str">
        <f>SmtRes!K295</f>
        <v>Шуруповерты</v>
      </c>
      <c r="H246" t="str">
        <f>SmtRes!O295</f>
        <v>маш.-ч</v>
      </c>
      <c r="I246">
        <f>SmtRes!Y295*Source!I532</f>
        <v>10.847999999999999</v>
      </c>
      <c r="J246">
        <f>SmtRes!AO295</f>
        <v>1</v>
      </c>
      <c r="K246">
        <f>SmtRes!AF295</f>
        <v>5.08</v>
      </c>
      <c r="L246">
        <f>SmtRes!DB295</f>
        <v>12.19</v>
      </c>
      <c r="M246">
        <f>ROUND(ROUND(L246*Source!I532, 6)*1, 2)</f>
        <v>55.1</v>
      </c>
      <c r="N246">
        <f>SmtRes!AB295</f>
        <v>5.08</v>
      </c>
      <c r="O246">
        <f>ROUND(ROUND(L246*Source!I532, 6)*SmtRes!DA295, 2)</f>
        <v>55.1</v>
      </c>
      <c r="P246">
        <f>SmtRes!AG295</f>
        <v>0.01</v>
      </c>
      <c r="Q246">
        <f>SmtRes!DC295</f>
        <v>0.02</v>
      </c>
      <c r="R246">
        <f>ROUND(ROUND(Q246*Source!I532, 6)*1, 2)</f>
        <v>0.09</v>
      </c>
      <c r="S246">
        <f>SmtRes!AC295</f>
        <v>0.01</v>
      </c>
      <c r="T246">
        <f>ROUND(ROUND(Q246*Source!I532, 6)*SmtRes!AK295, 2)</f>
        <v>0.09</v>
      </c>
      <c r="U246">
        <f>SmtRes!X295</f>
        <v>-1816839109</v>
      </c>
      <c r="V246">
        <v>-349933635</v>
      </c>
      <c r="W246">
        <v>-349933635</v>
      </c>
      <c r="X246">
        <v>2</v>
      </c>
    </row>
    <row r="247" spans="1:24" x14ac:dyDescent="0.2">
      <c r="A247">
        <v>20</v>
      </c>
      <c r="B247">
        <v>294</v>
      </c>
      <c r="C247">
        <v>2</v>
      </c>
      <c r="D247">
        <v>0</v>
      </c>
      <c r="E247">
        <f>SmtRes!AV294</f>
        <v>0</v>
      </c>
      <c r="F247" t="str">
        <f>SmtRes!I294</f>
        <v>22.1-30-33</v>
      </c>
      <c r="G247" t="str">
        <f>SmtRes!K294</f>
        <v>Лобзики электрические</v>
      </c>
      <c r="H247" t="str">
        <f>SmtRes!O294</f>
        <v>маш.-ч</v>
      </c>
      <c r="I247">
        <f>SmtRes!Y294*Source!I532</f>
        <v>9.2659999999999982</v>
      </c>
      <c r="J247">
        <f>SmtRes!AO294</f>
        <v>1</v>
      </c>
      <c r="K247">
        <f>SmtRes!AF294</f>
        <v>4.58</v>
      </c>
      <c r="L247">
        <f>SmtRes!DB294</f>
        <v>9.39</v>
      </c>
      <c r="M247">
        <f>ROUND(ROUND(L247*Source!I532, 6)*1, 2)</f>
        <v>42.44</v>
      </c>
      <c r="N247">
        <f>SmtRes!AB294</f>
        <v>4.58</v>
      </c>
      <c r="O247">
        <f>ROUND(ROUND(L247*Source!I532, 6)*SmtRes!DA294, 2)</f>
        <v>42.44</v>
      </c>
      <c r="P247">
        <f>SmtRes!AG294</f>
        <v>0.01</v>
      </c>
      <c r="Q247">
        <f>SmtRes!DC294</f>
        <v>0.02</v>
      </c>
      <c r="R247">
        <f>ROUND(ROUND(Q247*Source!I532, 6)*1, 2)</f>
        <v>0.09</v>
      </c>
      <c r="S247">
        <f>SmtRes!AC294</f>
        <v>0.01</v>
      </c>
      <c r="T247">
        <f>ROUND(ROUND(Q247*Source!I532, 6)*SmtRes!AK294, 2)</f>
        <v>0.09</v>
      </c>
      <c r="U247">
        <f>SmtRes!X294</f>
        <v>-1882981761</v>
      </c>
      <c r="V247">
        <v>-423908251</v>
      </c>
      <c r="W247">
        <v>-423908251</v>
      </c>
      <c r="X247">
        <v>2</v>
      </c>
    </row>
    <row r="248" spans="1:24" x14ac:dyDescent="0.2">
      <c r="A248">
        <v>20</v>
      </c>
      <c r="B248">
        <v>293</v>
      </c>
      <c r="C248">
        <v>2</v>
      </c>
      <c r="D248">
        <v>0</v>
      </c>
      <c r="E248">
        <f>SmtRes!AV293</f>
        <v>0</v>
      </c>
      <c r="F248" t="str">
        <f>SmtRes!I293</f>
        <v>22.1-30-102</v>
      </c>
      <c r="G248" t="str">
        <f>SmtRes!K293</f>
        <v>Дрели электрические, двухскоростные, мощностью 600 Вт</v>
      </c>
      <c r="H248" t="str">
        <f>SmtRes!O293</f>
        <v>маш.-ч</v>
      </c>
      <c r="I248">
        <f>SmtRes!Y293*Source!I532</f>
        <v>54.059199999999997</v>
      </c>
      <c r="J248">
        <f>SmtRes!AO293</f>
        <v>1</v>
      </c>
      <c r="K248">
        <f>SmtRes!AF293</f>
        <v>7.44</v>
      </c>
      <c r="L248">
        <f>SmtRes!DB293</f>
        <v>88.98</v>
      </c>
      <c r="M248">
        <f>ROUND(ROUND(L248*Source!I532, 6)*1, 2)</f>
        <v>402.19</v>
      </c>
      <c r="N248">
        <f>SmtRes!AB293</f>
        <v>7.44</v>
      </c>
      <c r="O248">
        <f>ROUND(ROUND(L248*Source!I532, 6)*SmtRes!DA293, 2)</f>
        <v>402.19</v>
      </c>
      <c r="P248">
        <f>SmtRes!AG293</f>
        <v>0.98</v>
      </c>
      <c r="Q248">
        <f>SmtRes!DC293</f>
        <v>11.72</v>
      </c>
      <c r="R248">
        <f>ROUND(ROUND(Q248*Source!I532, 6)*1, 2)</f>
        <v>52.97</v>
      </c>
      <c r="S248">
        <f>SmtRes!AC293</f>
        <v>0.98</v>
      </c>
      <c r="T248">
        <f>ROUND(ROUND(Q248*Source!I532, 6)*SmtRes!AK293, 2)</f>
        <v>52.97</v>
      </c>
      <c r="U248">
        <f>SmtRes!X293</f>
        <v>-1222982568</v>
      </c>
      <c r="V248">
        <v>-2110789947</v>
      </c>
      <c r="W248">
        <v>-2110789947</v>
      </c>
      <c r="X248">
        <v>2</v>
      </c>
    </row>
    <row r="249" spans="1:24" x14ac:dyDescent="0.2">
      <c r="A249">
        <v>20</v>
      </c>
      <c r="B249">
        <v>313</v>
      </c>
      <c r="C249">
        <v>3</v>
      </c>
      <c r="D249">
        <v>0</v>
      </c>
      <c r="E249">
        <f>SmtRes!AV313</f>
        <v>0</v>
      </c>
      <c r="F249" t="str">
        <f>SmtRes!I313</f>
        <v>21.8-1-41</v>
      </c>
      <c r="G249" t="str">
        <f>SmtRes!K313</f>
        <v>Доводчики дверные, марка "ДОРМА TS/92", масса двери до 120 кг</v>
      </c>
      <c r="H249" t="str">
        <f>SmtRes!O313</f>
        <v>шт.</v>
      </c>
      <c r="I249">
        <f>SmtRes!Y313*Source!I534</f>
        <v>1</v>
      </c>
      <c r="J249">
        <f>SmtRes!AO313</f>
        <v>1</v>
      </c>
      <c r="K249">
        <f>SmtRes!AE313</f>
        <v>10238.299999999999</v>
      </c>
      <c r="L249">
        <f>SmtRes!DB313</f>
        <v>10238.299999999999</v>
      </c>
      <c r="M249">
        <f>ROUND(ROUND(L249*Source!I534, 6)*1, 2)</f>
        <v>10238.299999999999</v>
      </c>
      <c r="N249">
        <f>SmtRes!AA313</f>
        <v>10238.299999999999</v>
      </c>
      <c r="O249">
        <f>ROUND(ROUND(L249*Source!I534, 6)*SmtRes!DA313, 2)</f>
        <v>10238.299999999999</v>
      </c>
      <c r="P249">
        <f>SmtRes!AG313</f>
        <v>0</v>
      </c>
      <c r="Q249">
        <f>SmtRes!DC313</f>
        <v>0</v>
      </c>
      <c r="R249">
        <f>ROUND(ROUND(Q249*Source!I534, 6)*1, 2)</f>
        <v>0</v>
      </c>
      <c r="S249">
        <f>SmtRes!AC313</f>
        <v>0</v>
      </c>
      <c r="T249">
        <f>ROUND(ROUND(Q249*Source!I534, 6)*SmtRes!AK313, 2)</f>
        <v>0</v>
      </c>
      <c r="U249">
        <f>SmtRes!X313</f>
        <v>-1124309573</v>
      </c>
      <c r="V249">
        <v>-1522466090</v>
      </c>
      <c r="W249">
        <v>-1522466090</v>
      </c>
      <c r="X249">
        <v>3</v>
      </c>
    </row>
    <row r="250" spans="1:24" x14ac:dyDescent="0.2">
      <c r="A250">
        <v>20</v>
      </c>
      <c r="B250">
        <v>312</v>
      </c>
      <c r="C250">
        <v>3</v>
      </c>
      <c r="D250">
        <v>0</v>
      </c>
      <c r="E250">
        <f>SmtRes!AV312</f>
        <v>0</v>
      </c>
      <c r="F250" t="str">
        <f>SmtRes!I312</f>
        <v>21.1-11-29</v>
      </c>
      <c r="G250" t="str">
        <f>SmtRes!K312</f>
        <v>Винты самонарезающие 5х40 мм для металла</v>
      </c>
      <c r="H250" t="str">
        <f>SmtRes!O312</f>
        <v>кг</v>
      </c>
      <c r="I250">
        <f>SmtRes!Y312*Source!I534</f>
        <v>0.02</v>
      </c>
      <c r="J250">
        <f>SmtRes!AO312</f>
        <v>1</v>
      </c>
      <c r="K250">
        <f>SmtRes!AE312</f>
        <v>148.69999999999999</v>
      </c>
      <c r="L250">
        <f>SmtRes!DB312</f>
        <v>2.97</v>
      </c>
      <c r="M250">
        <f>ROUND(ROUND(L250*Source!I534, 6)*1, 2)</f>
        <v>2.97</v>
      </c>
      <c r="N250">
        <f>SmtRes!AA312</f>
        <v>148.69999999999999</v>
      </c>
      <c r="O250">
        <f>ROUND(ROUND(L250*Source!I534, 6)*SmtRes!DA312, 2)</f>
        <v>2.97</v>
      </c>
      <c r="P250">
        <f>SmtRes!AG312</f>
        <v>0</v>
      </c>
      <c r="Q250">
        <f>SmtRes!DC312</f>
        <v>0</v>
      </c>
      <c r="R250">
        <f>ROUND(ROUND(Q250*Source!I534, 6)*1, 2)</f>
        <v>0</v>
      </c>
      <c r="S250">
        <f>SmtRes!AC312</f>
        <v>0</v>
      </c>
      <c r="T250">
        <f>ROUND(ROUND(Q250*Source!I534, 6)*SmtRes!AK312, 2)</f>
        <v>0</v>
      </c>
      <c r="U250">
        <f>SmtRes!X312</f>
        <v>-1821987283</v>
      </c>
      <c r="V250">
        <v>1205958222</v>
      </c>
      <c r="W250">
        <v>1205958222</v>
      </c>
      <c r="X250">
        <v>3</v>
      </c>
    </row>
    <row r="251" spans="1:24" x14ac:dyDescent="0.2">
      <c r="A251">
        <v>20</v>
      </c>
      <c r="B251">
        <v>311</v>
      </c>
      <c r="C251">
        <v>2</v>
      </c>
      <c r="D251">
        <v>0</v>
      </c>
      <c r="E251">
        <f>SmtRes!AV311</f>
        <v>0</v>
      </c>
      <c r="F251" t="str">
        <f>SmtRes!I311</f>
        <v>22.1-30-56</v>
      </c>
      <c r="G251" t="str">
        <f>SmtRes!K311</f>
        <v>Шуруповерты</v>
      </c>
      <c r="H251" t="str">
        <f>SmtRes!O311</f>
        <v>маш.-ч</v>
      </c>
      <c r="I251">
        <f>SmtRes!Y311*Source!I534</f>
        <v>0.19</v>
      </c>
      <c r="J251">
        <f>SmtRes!AO311</f>
        <v>1</v>
      </c>
      <c r="K251">
        <f>SmtRes!AF311</f>
        <v>5.08</v>
      </c>
      <c r="L251">
        <f>SmtRes!DB311</f>
        <v>0.97</v>
      </c>
      <c r="M251">
        <f>ROUND(ROUND(L251*Source!I534, 6)*1, 2)</f>
        <v>0.97</v>
      </c>
      <c r="N251">
        <f>SmtRes!AB311</f>
        <v>5.08</v>
      </c>
      <c r="O251">
        <f>ROUND(ROUND(L251*Source!I534, 6)*SmtRes!DA311, 2)</f>
        <v>0.97</v>
      </c>
      <c r="P251">
        <f>SmtRes!AG311</f>
        <v>0.01</v>
      </c>
      <c r="Q251">
        <f>SmtRes!DC311</f>
        <v>0</v>
      </c>
      <c r="R251">
        <f>ROUND(ROUND(Q251*Source!I534, 6)*1, 2)</f>
        <v>0</v>
      </c>
      <c r="S251">
        <f>SmtRes!AC311</f>
        <v>0.01</v>
      </c>
      <c r="T251">
        <f>ROUND(ROUND(Q251*Source!I534, 6)*SmtRes!AK311, 2)</f>
        <v>0</v>
      </c>
      <c r="U251">
        <f>SmtRes!X311</f>
        <v>-1816839109</v>
      </c>
      <c r="V251">
        <v>-349933635</v>
      </c>
      <c r="W251">
        <v>-349933635</v>
      </c>
      <c r="X251">
        <v>2</v>
      </c>
    </row>
    <row r="252" spans="1:24" x14ac:dyDescent="0.2">
      <c r="A252">
        <v>20</v>
      </c>
      <c r="B252">
        <v>310</v>
      </c>
      <c r="C252">
        <v>2</v>
      </c>
      <c r="D252">
        <v>0</v>
      </c>
      <c r="E252">
        <f>SmtRes!AV310</f>
        <v>0</v>
      </c>
      <c r="F252" t="str">
        <f>SmtRes!I310</f>
        <v>22.1-30-19</v>
      </c>
      <c r="G252" t="str">
        <f>SmtRes!K310</f>
        <v>Машины шлифовальные электрические</v>
      </c>
      <c r="H252" t="str">
        <f>SmtRes!O310</f>
        <v>маш.-ч</v>
      </c>
      <c r="I252">
        <f>SmtRes!Y310*Source!I534</f>
        <v>0.02</v>
      </c>
      <c r="J252">
        <f>SmtRes!AO310</f>
        <v>1</v>
      </c>
      <c r="K252">
        <f>SmtRes!AF310</f>
        <v>5.94</v>
      </c>
      <c r="L252">
        <f>SmtRes!DB310</f>
        <v>0.12</v>
      </c>
      <c r="M252">
        <f>ROUND(ROUND(L252*Source!I534, 6)*1, 2)</f>
        <v>0.12</v>
      </c>
      <c r="N252">
        <f>SmtRes!AB310</f>
        <v>5.94</v>
      </c>
      <c r="O252">
        <f>ROUND(ROUND(L252*Source!I534, 6)*SmtRes!DA310, 2)</f>
        <v>0.12</v>
      </c>
      <c r="P252">
        <f>SmtRes!AG310</f>
        <v>0.02</v>
      </c>
      <c r="Q252">
        <f>SmtRes!DC310</f>
        <v>0</v>
      </c>
      <c r="R252">
        <f>ROUND(ROUND(Q252*Source!I534, 6)*1, 2)</f>
        <v>0</v>
      </c>
      <c r="S252">
        <f>SmtRes!AC310</f>
        <v>0.02</v>
      </c>
      <c r="T252">
        <f>ROUND(ROUND(Q252*Source!I534, 6)*SmtRes!AK310, 2)</f>
        <v>0</v>
      </c>
      <c r="U252">
        <f>SmtRes!X310</f>
        <v>-952080715</v>
      </c>
      <c r="V252">
        <v>1196876742</v>
      </c>
      <c r="W252">
        <v>1196876742</v>
      </c>
      <c r="X252">
        <v>2</v>
      </c>
    </row>
    <row r="253" spans="1:24" x14ac:dyDescent="0.2">
      <c r="A253">
        <v>20</v>
      </c>
      <c r="B253">
        <v>309</v>
      </c>
      <c r="C253">
        <v>2</v>
      </c>
      <c r="D253">
        <v>0</v>
      </c>
      <c r="E253">
        <f>SmtRes!AV309</f>
        <v>0</v>
      </c>
      <c r="F253" t="str">
        <f>SmtRes!I309</f>
        <v>22.1-30-102</v>
      </c>
      <c r="G253" t="str">
        <f>SmtRes!K309</f>
        <v>Дрели электрические, двухскоростные, мощностью 600 Вт</v>
      </c>
      <c r="H253" t="str">
        <f>SmtRes!O309</f>
        <v>маш.-ч</v>
      </c>
      <c r="I253">
        <f>SmtRes!Y309*Source!I534</f>
        <v>0.14000000000000001</v>
      </c>
      <c r="J253">
        <f>SmtRes!AO309</f>
        <v>1</v>
      </c>
      <c r="K253">
        <f>SmtRes!AF309</f>
        <v>7.44</v>
      </c>
      <c r="L253">
        <f>SmtRes!DB309</f>
        <v>1.04</v>
      </c>
      <c r="M253">
        <f>ROUND(ROUND(L253*Source!I534, 6)*1, 2)</f>
        <v>1.04</v>
      </c>
      <c r="N253">
        <f>SmtRes!AB309</f>
        <v>7.44</v>
      </c>
      <c r="O253">
        <f>ROUND(ROUND(L253*Source!I534, 6)*SmtRes!DA309, 2)</f>
        <v>1.04</v>
      </c>
      <c r="P253">
        <f>SmtRes!AG309</f>
        <v>0.98</v>
      </c>
      <c r="Q253">
        <f>SmtRes!DC309</f>
        <v>0.14000000000000001</v>
      </c>
      <c r="R253">
        <f>ROUND(ROUND(Q253*Source!I534, 6)*1, 2)</f>
        <v>0.14000000000000001</v>
      </c>
      <c r="S253">
        <f>SmtRes!AC309</f>
        <v>0.98</v>
      </c>
      <c r="T253">
        <f>ROUND(ROUND(Q253*Source!I534, 6)*SmtRes!AK309, 2)</f>
        <v>0.14000000000000001</v>
      </c>
      <c r="U253">
        <f>SmtRes!X309</f>
        <v>-1222982568</v>
      </c>
      <c r="V253">
        <v>-2110789947</v>
      </c>
      <c r="W253">
        <v>-2110789947</v>
      </c>
      <c r="X253">
        <v>2</v>
      </c>
    </row>
    <row r="254" spans="1:24" x14ac:dyDescent="0.2">
      <c r="A254">
        <v>20</v>
      </c>
      <c r="B254">
        <v>308</v>
      </c>
      <c r="C254">
        <v>2</v>
      </c>
      <c r="D254">
        <v>0</v>
      </c>
      <c r="E254">
        <f>SmtRes!AV308</f>
        <v>0</v>
      </c>
      <c r="F254" t="str">
        <f>SmtRes!I308</f>
        <v>22.1-13-14</v>
      </c>
      <c r="G254" t="str">
        <f>SmtRes!K308</f>
        <v>Установки для сварки ручной дуговой (постоянного тока)</v>
      </c>
      <c r="H254" t="str">
        <f>SmtRes!O308</f>
        <v>маш.-ч</v>
      </c>
      <c r="I254">
        <f>SmtRes!Y308*Source!I534</f>
        <v>0.32</v>
      </c>
      <c r="J254">
        <f>SmtRes!AO308</f>
        <v>1</v>
      </c>
      <c r="K254">
        <f>SmtRes!AF308</f>
        <v>27.21</v>
      </c>
      <c r="L254">
        <f>SmtRes!DB308</f>
        <v>8.7100000000000009</v>
      </c>
      <c r="M254">
        <f>ROUND(ROUND(L254*Source!I534, 6)*1, 2)</f>
        <v>8.7100000000000009</v>
      </c>
      <c r="N254">
        <f>SmtRes!AB308</f>
        <v>27.21</v>
      </c>
      <c r="O254">
        <f>ROUND(ROUND(L254*Source!I534, 6)*SmtRes!DA308, 2)</f>
        <v>8.7100000000000009</v>
      </c>
      <c r="P254">
        <f>SmtRes!AG308</f>
        <v>0.13</v>
      </c>
      <c r="Q254">
        <f>SmtRes!DC308</f>
        <v>0.04</v>
      </c>
      <c r="R254">
        <f>ROUND(ROUND(Q254*Source!I534, 6)*1, 2)</f>
        <v>0.04</v>
      </c>
      <c r="S254">
        <f>SmtRes!AC308</f>
        <v>0.13</v>
      </c>
      <c r="T254">
        <f>ROUND(ROUND(Q254*Source!I534, 6)*SmtRes!AK308, 2)</f>
        <v>0.04</v>
      </c>
      <c r="U254">
        <f>SmtRes!X308</f>
        <v>-1522739878</v>
      </c>
      <c r="V254">
        <v>-508985352</v>
      </c>
      <c r="W254">
        <v>-508985352</v>
      </c>
      <c r="X254">
        <v>2</v>
      </c>
    </row>
    <row r="255" spans="1:24" x14ac:dyDescent="0.2">
      <c r="A255">
        <v>20</v>
      </c>
      <c r="B255">
        <v>316</v>
      </c>
      <c r="C255">
        <v>3</v>
      </c>
      <c r="D255">
        <v>0</v>
      </c>
      <c r="E255">
        <f>SmtRes!AV316</f>
        <v>0</v>
      </c>
      <c r="F255" t="str">
        <f>SmtRes!I316</f>
        <v>21.21-5-2</v>
      </c>
      <c r="G255" t="str">
        <f>SmtRes!K316</f>
        <v>Бирки маркировочные для кабелей и проводов, тип У153 У3,5</v>
      </c>
      <c r="H255" t="str">
        <f>SmtRes!O316</f>
        <v>1000 шт.</v>
      </c>
      <c r="I255">
        <f>SmtRes!Y316*Source!I535</f>
        <v>6.0000000000000001E-3</v>
      </c>
      <c r="J255">
        <f>SmtRes!AO316</f>
        <v>1</v>
      </c>
      <c r="K255">
        <f>SmtRes!AE316</f>
        <v>450.82</v>
      </c>
      <c r="L255">
        <f>SmtRes!DB316</f>
        <v>2.7</v>
      </c>
      <c r="M255">
        <f>ROUND(ROUND(L255*Source!I535, 6)*1, 2)</f>
        <v>2.7</v>
      </c>
      <c r="N255">
        <f>SmtRes!AA316</f>
        <v>450.82</v>
      </c>
      <c r="O255">
        <f>ROUND(ROUND(L255*Source!I535, 6)*SmtRes!DA316, 2)</f>
        <v>2.7</v>
      </c>
      <c r="P255">
        <f>SmtRes!AG316</f>
        <v>0</v>
      </c>
      <c r="Q255">
        <f>SmtRes!DC316</f>
        <v>0</v>
      </c>
      <c r="R255">
        <f>ROUND(ROUND(Q255*Source!I535, 6)*1, 2)</f>
        <v>0</v>
      </c>
      <c r="S255">
        <f>SmtRes!AC316</f>
        <v>0</v>
      </c>
      <c r="T255">
        <f>ROUND(ROUND(Q255*Source!I535, 6)*SmtRes!AK316, 2)</f>
        <v>0</v>
      </c>
      <c r="U255">
        <f>SmtRes!X316</f>
        <v>864670250</v>
      </c>
      <c r="V255">
        <v>-651459537</v>
      </c>
      <c r="W255">
        <v>-651459537</v>
      </c>
      <c r="X255">
        <v>3</v>
      </c>
    </row>
    <row r="256" spans="1:24" x14ac:dyDescent="0.2">
      <c r="A256">
        <v>20</v>
      </c>
      <c r="B256">
        <v>315</v>
      </c>
      <c r="C256">
        <v>3</v>
      </c>
      <c r="D256">
        <v>0</v>
      </c>
      <c r="E256">
        <f>SmtRes!AV315</f>
        <v>0</v>
      </c>
      <c r="F256" t="str">
        <f>SmtRes!I315</f>
        <v>21.1-11-21</v>
      </c>
      <c r="G256" t="str">
        <f>SmtRes!K315</f>
        <v>Болты строительные черные с гайками и шайбами (10х100мм)</v>
      </c>
      <c r="H256" t="str">
        <f>SmtRes!O315</f>
        <v>т</v>
      </c>
      <c r="I256">
        <f>SmtRes!Y315*Source!I535</f>
        <v>6.0000000000000002E-5</v>
      </c>
      <c r="J256">
        <f>SmtRes!AO315</f>
        <v>1</v>
      </c>
      <c r="K256">
        <f>SmtRes!AE315</f>
        <v>105084.63</v>
      </c>
      <c r="L256">
        <f>SmtRes!DB315</f>
        <v>6.31</v>
      </c>
      <c r="M256">
        <f>ROUND(ROUND(L256*Source!I535, 6)*1, 2)</f>
        <v>6.31</v>
      </c>
      <c r="N256">
        <f>SmtRes!AA315</f>
        <v>105084.63</v>
      </c>
      <c r="O256">
        <f>ROUND(ROUND(L256*Source!I535, 6)*SmtRes!DA315, 2)</f>
        <v>6.31</v>
      </c>
      <c r="P256">
        <f>SmtRes!AG315</f>
        <v>0</v>
      </c>
      <c r="Q256">
        <f>SmtRes!DC315</f>
        <v>0</v>
      </c>
      <c r="R256">
        <f>ROUND(ROUND(Q256*Source!I535, 6)*1, 2)</f>
        <v>0</v>
      </c>
      <c r="S256">
        <f>SmtRes!AC315</f>
        <v>0</v>
      </c>
      <c r="T256">
        <f>ROUND(ROUND(Q256*Source!I535, 6)*SmtRes!AK315, 2)</f>
        <v>0</v>
      </c>
      <c r="U256">
        <f>SmtRes!X315</f>
        <v>-1356276541</v>
      </c>
      <c r="V256">
        <v>442495294</v>
      </c>
      <c r="W256">
        <v>442495294</v>
      </c>
      <c r="X256">
        <v>3</v>
      </c>
    </row>
    <row r="257" spans="1:24" x14ac:dyDescent="0.2">
      <c r="A257">
        <f>Source!A598</f>
        <v>4</v>
      </c>
      <c r="B257">
        <v>598</v>
      </c>
      <c r="G257" t="str">
        <f>Source!G598</f>
        <v>Асфальт</v>
      </c>
    </row>
    <row r="258" spans="1:24" x14ac:dyDescent="0.2">
      <c r="A258">
        <f>Source!A602</f>
        <v>5</v>
      </c>
      <c r="B258">
        <v>602</v>
      </c>
      <c r="G258" t="str">
        <f>Source!G602</f>
        <v>Строительные работы</v>
      </c>
    </row>
    <row r="259" spans="1:24" x14ac:dyDescent="0.2">
      <c r="A259">
        <v>20</v>
      </c>
      <c r="B259">
        <v>324</v>
      </c>
      <c r="C259">
        <v>3</v>
      </c>
      <c r="D259">
        <v>0</v>
      </c>
      <c r="E259">
        <f>SmtRes!AV324</f>
        <v>0</v>
      </c>
      <c r="F259" t="str">
        <f>SmtRes!I324</f>
        <v>21.5-3-13</v>
      </c>
      <c r="G259" t="str">
        <f>SmtRes!K324</f>
        <v>Камни бетонные бортовые, марка БР 100.30.15</v>
      </c>
      <c r="H259" t="str">
        <f>SmtRes!O324</f>
        <v>м3</v>
      </c>
      <c r="I259">
        <f>SmtRes!Y324*Source!I606</f>
        <v>10.246</v>
      </c>
      <c r="J259">
        <f>SmtRes!AO324</f>
        <v>1</v>
      </c>
      <c r="K259">
        <f>SmtRes!AE324</f>
        <v>7833.01</v>
      </c>
      <c r="L259">
        <f>SmtRes!DB324</f>
        <v>341.52</v>
      </c>
      <c r="M259">
        <f>ROUND(ROUND(L259*Source!I606, 6)*1, 2)</f>
        <v>80257.2</v>
      </c>
      <c r="N259">
        <f>SmtRes!AA324</f>
        <v>7833.01</v>
      </c>
      <c r="O259">
        <f>ROUND(ROUND(L259*Source!I606, 6)*SmtRes!DA324, 2)</f>
        <v>80257.2</v>
      </c>
      <c r="P259">
        <f>SmtRes!AG324</f>
        <v>0</v>
      </c>
      <c r="Q259">
        <f>SmtRes!DC324</f>
        <v>0</v>
      </c>
      <c r="R259">
        <f>ROUND(ROUND(Q259*Source!I606, 6)*1, 2)</f>
        <v>0</v>
      </c>
      <c r="S259">
        <f>SmtRes!AC324</f>
        <v>0</v>
      </c>
      <c r="T259">
        <f>ROUND(ROUND(Q259*Source!I606, 6)*SmtRes!AK324, 2)</f>
        <v>0</v>
      </c>
      <c r="U259">
        <f>SmtRes!X324</f>
        <v>1857369686</v>
      </c>
      <c r="V259">
        <v>-2047498075</v>
      </c>
      <c r="W259">
        <v>-2047498075</v>
      </c>
      <c r="X259">
        <v>3</v>
      </c>
    </row>
    <row r="260" spans="1:24" x14ac:dyDescent="0.2">
      <c r="A260">
        <v>20</v>
      </c>
      <c r="B260">
        <v>323</v>
      </c>
      <c r="C260">
        <v>3</v>
      </c>
      <c r="D260">
        <v>0</v>
      </c>
      <c r="E260">
        <f>SmtRes!AV323</f>
        <v>0</v>
      </c>
      <c r="F260" t="str">
        <f>SmtRes!I323</f>
        <v>21.3-2-15</v>
      </c>
      <c r="G260" t="str">
        <f>SmtRes!K323</f>
        <v>Растворы цементные, марка 100</v>
      </c>
      <c r="H260" t="str">
        <f>SmtRes!O323</f>
        <v>м3</v>
      </c>
      <c r="I260">
        <f>SmtRes!Y323*Source!I606</f>
        <v>0.14099999999999999</v>
      </c>
      <c r="J260">
        <f>SmtRes!AO323</f>
        <v>1</v>
      </c>
      <c r="K260">
        <f>SmtRes!AE323</f>
        <v>3392.59</v>
      </c>
      <c r="L260">
        <f>SmtRes!DB323</f>
        <v>2.04</v>
      </c>
      <c r="M260">
        <f>ROUND(ROUND(L260*Source!I606, 6)*1, 2)</f>
        <v>479.4</v>
      </c>
      <c r="N260">
        <f>SmtRes!AA323</f>
        <v>3392.59</v>
      </c>
      <c r="O260">
        <f>ROUND(ROUND(L260*Source!I606, 6)*SmtRes!DA323, 2)</f>
        <v>479.4</v>
      </c>
      <c r="P260">
        <f>SmtRes!AG323</f>
        <v>0</v>
      </c>
      <c r="Q260">
        <f>SmtRes!DC323</f>
        <v>0</v>
      </c>
      <c r="R260">
        <f>ROUND(ROUND(Q260*Source!I606, 6)*1, 2)</f>
        <v>0</v>
      </c>
      <c r="S260">
        <f>SmtRes!AC323</f>
        <v>0</v>
      </c>
      <c r="T260">
        <f>ROUND(ROUND(Q260*Source!I606, 6)*SmtRes!AK323, 2)</f>
        <v>0</v>
      </c>
      <c r="U260">
        <f>SmtRes!X323</f>
        <v>253260963</v>
      </c>
      <c r="V260">
        <v>1066234070</v>
      </c>
      <c r="W260">
        <v>1066234070</v>
      </c>
      <c r="X260">
        <v>3</v>
      </c>
    </row>
    <row r="261" spans="1:24" x14ac:dyDescent="0.2">
      <c r="A261">
        <v>20</v>
      </c>
      <c r="B261">
        <v>322</v>
      </c>
      <c r="C261">
        <v>3</v>
      </c>
      <c r="D261">
        <v>0</v>
      </c>
      <c r="E261">
        <f>SmtRes!AV322</f>
        <v>0</v>
      </c>
      <c r="F261" t="str">
        <f>SmtRes!I322</f>
        <v>21.3-1-36</v>
      </c>
      <c r="G261" t="str">
        <f>SmtRes!K322</f>
        <v>Смеси бетонные, БСГ, тяжелого бетона на гранитном щебне фракция 20-40 для инженерных коммуникаций и дорог, класс прочности: В15 (М200); П1, F100, W2</v>
      </c>
      <c r="H261" t="str">
        <f>SmtRes!O322</f>
        <v>м3</v>
      </c>
      <c r="I261">
        <f>SmtRes!Y322*Source!I606</f>
        <v>13.864999999999998</v>
      </c>
      <c r="J261">
        <f>SmtRes!AO322</f>
        <v>1</v>
      </c>
      <c r="K261">
        <f>SmtRes!AE322</f>
        <v>3694.66</v>
      </c>
      <c r="L261">
        <f>SmtRes!DB322</f>
        <v>217.98</v>
      </c>
      <c r="M261">
        <f>ROUND(ROUND(L261*Source!I606, 6)*1, 2)</f>
        <v>51225.3</v>
      </c>
      <c r="N261">
        <f>SmtRes!AA322</f>
        <v>3694.66</v>
      </c>
      <c r="O261">
        <f>ROUND(ROUND(L261*Source!I606, 6)*SmtRes!DA322, 2)</f>
        <v>51225.3</v>
      </c>
      <c r="P261">
        <f>SmtRes!AG322</f>
        <v>0</v>
      </c>
      <c r="Q261">
        <f>SmtRes!DC322</f>
        <v>0</v>
      </c>
      <c r="R261">
        <f>ROUND(ROUND(Q261*Source!I606, 6)*1, 2)</f>
        <v>0</v>
      </c>
      <c r="S261">
        <f>SmtRes!AC322</f>
        <v>0</v>
      </c>
      <c r="T261">
        <f>ROUND(ROUND(Q261*Source!I606, 6)*SmtRes!AK322, 2)</f>
        <v>0</v>
      </c>
      <c r="U261">
        <f>SmtRes!X322</f>
        <v>1480947589</v>
      </c>
      <c r="V261">
        <v>-1258475170</v>
      </c>
      <c r="W261">
        <v>-1258475170</v>
      </c>
      <c r="X261">
        <v>3</v>
      </c>
    </row>
    <row r="262" spans="1:24" x14ac:dyDescent="0.2">
      <c r="A262">
        <v>20</v>
      </c>
      <c r="B262">
        <v>321</v>
      </c>
      <c r="C262">
        <v>2</v>
      </c>
      <c r="D262">
        <v>0</v>
      </c>
      <c r="E262">
        <f>SmtRes!AV321</f>
        <v>0</v>
      </c>
      <c r="F262" t="str">
        <f>SmtRes!I321</f>
        <v>22.1-4-1</v>
      </c>
      <c r="G262" t="str">
        <f>SmtRes!K321</f>
        <v>Погрузчики универсальные на пневмоколесном ходу, грузоподъемность до 1 т</v>
      </c>
      <c r="H262" t="str">
        <f>SmtRes!O321</f>
        <v>маш.-ч</v>
      </c>
      <c r="I262">
        <f>SmtRes!Y321*Source!I606</f>
        <v>20.914999999999999</v>
      </c>
      <c r="J262">
        <f>SmtRes!AO321</f>
        <v>1</v>
      </c>
      <c r="K262">
        <f>SmtRes!AF321</f>
        <v>829.85</v>
      </c>
      <c r="L262">
        <f>SmtRes!DB321</f>
        <v>73.86</v>
      </c>
      <c r="M262">
        <f>ROUND(ROUND(L262*Source!I606, 6)*1, 2)</f>
        <v>17357.099999999999</v>
      </c>
      <c r="N262">
        <f>SmtRes!AB321</f>
        <v>829.85</v>
      </c>
      <c r="O262">
        <f>ROUND(ROUND(L262*Source!I606, 6)*SmtRes!DA321, 2)</f>
        <v>17357.099999999999</v>
      </c>
      <c r="P262">
        <f>SmtRes!AG321</f>
        <v>457.02</v>
      </c>
      <c r="Q262">
        <f>SmtRes!DC321</f>
        <v>40.67</v>
      </c>
      <c r="R262">
        <f>ROUND(ROUND(Q262*Source!I606, 6)*1, 2)</f>
        <v>9557.4500000000007</v>
      </c>
      <c r="S262">
        <f>SmtRes!AC321</f>
        <v>457.02</v>
      </c>
      <c r="T262">
        <f>ROUND(ROUND(Q262*Source!I606, 6)*SmtRes!AK321, 2)</f>
        <v>9557.4500000000007</v>
      </c>
      <c r="U262">
        <f>SmtRes!X321</f>
        <v>-954929434</v>
      </c>
      <c r="V262">
        <v>1869540202</v>
      </c>
      <c r="W262">
        <v>1869540202</v>
      </c>
      <c r="X262">
        <v>2</v>
      </c>
    </row>
    <row r="263" spans="1:24" x14ac:dyDescent="0.2">
      <c r="A263">
        <v>20</v>
      </c>
      <c r="B263">
        <v>320</v>
      </c>
      <c r="C263">
        <v>2</v>
      </c>
      <c r="D263">
        <v>0</v>
      </c>
      <c r="E263">
        <f>SmtRes!AV320</f>
        <v>0</v>
      </c>
      <c r="F263" t="str">
        <f>SmtRes!I320</f>
        <v>22.1-30-54</v>
      </c>
      <c r="G263" t="str">
        <f>SmtRes!K320</f>
        <v>Молотки отбойные</v>
      </c>
      <c r="H263" t="str">
        <f>SmtRes!O320</f>
        <v>маш.-ч</v>
      </c>
      <c r="I263">
        <f>SmtRes!Y320*Source!I606</f>
        <v>31.020000000000003</v>
      </c>
      <c r="J263">
        <f>SmtRes!AO320</f>
        <v>1</v>
      </c>
      <c r="K263">
        <f>SmtRes!AF320</f>
        <v>6.02</v>
      </c>
      <c r="L263">
        <f>SmtRes!DB320</f>
        <v>0.79</v>
      </c>
      <c r="M263">
        <f>ROUND(ROUND(L263*Source!I606, 6)*1, 2)</f>
        <v>185.65</v>
      </c>
      <c r="N263">
        <f>SmtRes!AB320</f>
        <v>6.02</v>
      </c>
      <c r="O263">
        <f>ROUND(ROUND(L263*Source!I606, 6)*SmtRes!DA320, 2)</f>
        <v>185.65</v>
      </c>
      <c r="P263">
        <f>SmtRes!AG320</f>
        <v>0.02</v>
      </c>
      <c r="Q263">
        <f>SmtRes!DC320</f>
        <v>0</v>
      </c>
      <c r="R263">
        <f>ROUND(ROUND(Q263*Source!I606, 6)*1, 2)</f>
        <v>0</v>
      </c>
      <c r="S263">
        <f>SmtRes!AC320</f>
        <v>0.02</v>
      </c>
      <c r="T263">
        <f>ROUND(ROUND(Q263*Source!I606, 6)*SmtRes!AK320, 2)</f>
        <v>0</v>
      </c>
      <c r="U263">
        <f>SmtRes!X320</f>
        <v>1403155342</v>
      </c>
      <c r="V263">
        <v>975003665</v>
      </c>
      <c r="W263">
        <v>975003665</v>
      </c>
      <c r="X263">
        <v>2</v>
      </c>
    </row>
    <row r="264" spans="1:24" x14ac:dyDescent="0.2">
      <c r="A264">
        <v>20</v>
      </c>
      <c r="B264">
        <v>319</v>
      </c>
      <c r="C264">
        <v>2</v>
      </c>
      <c r="D264">
        <v>0</v>
      </c>
      <c r="E264">
        <f>SmtRes!AV319</f>
        <v>0</v>
      </c>
      <c r="F264" t="str">
        <f>SmtRes!I319</f>
        <v>22.1-18-27</v>
      </c>
      <c r="G264" t="str">
        <f>SmtRes!K319</f>
        <v>Автомобили грузовые для аварийно-ремонтных работ, грузоподъемность до 7 т</v>
      </c>
      <c r="H264" t="str">
        <f>SmtRes!O319</f>
        <v>маш.-ч</v>
      </c>
      <c r="I264">
        <f>SmtRes!Y319*Source!I606</f>
        <v>11.75</v>
      </c>
      <c r="J264">
        <f>SmtRes!AO319</f>
        <v>1</v>
      </c>
      <c r="K264">
        <f>SmtRes!AF319</f>
        <v>1090.94</v>
      </c>
      <c r="L264">
        <f>SmtRes!DB319</f>
        <v>54.55</v>
      </c>
      <c r="M264">
        <f>ROUND(ROUND(L264*Source!I606, 6)*1, 2)</f>
        <v>12819.25</v>
      </c>
      <c r="N264">
        <f>SmtRes!AB319</f>
        <v>1090.94</v>
      </c>
      <c r="O264">
        <f>ROUND(ROUND(L264*Source!I606, 6)*SmtRes!DA319, 2)</f>
        <v>12819.25</v>
      </c>
      <c r="P264">
        <f>SmtRes!AG319</f>
        <v>389.28</v>
      </c>
      <c r="Q264">
        <f>SmtRes!DC319</f>
        <v>19.46</v>
      </c>
      <c r="R264">
        <f>ROUND(ROUND(Q264*Source!I606, 6)*1, 2)</f>
        <v>4573.1000000000004</v>
      </c>
      <c r="S264">
        <f>SmtRes!AC319</f>
        <v>389.28</v>
      </c>
      <c r="T264">
        <f>ROUND(ROUND(Q264*Source!I606, 6)*SmtRes!AK319, 2)</f>
        <v>4573.1000000000004</v>
      </c>
      <c r="U264">
        <f>SmtRes!X319</f>
        <v>-292475566</v>
      </c>
      <c r="V264">
        <v>131468512</v>
      </c>
      <c r="W264">
        <v>131468512</v>
      </c>
      <c r="X264">
        <v>2</v>
      </c>
    </row>
    <row r="265" spans="1:24" x14ac:dyDescent="0.2">
      <c r="A265">
        <v>20</v>
      </c>
      <c r="B265">
        <v>318</v>
      </c>
      <c r="C265">
        <v>2</v>
      </c>
      <c r="D265">
        <v>0</v>
      </c>
      <c r="E265">
        <f>SmtRes!AV318</f>
        <v>0</v>
      </c>
      <c r="F265" t="str">
        <f>SmtRes!I318</f>
        <v>22.1-10-4</v>
      </c>
      <c r="G265" t="str">
        <f>SmtRes!K318</f>
        <v>Компрессоры с дизельным двигателем прицепные до 2,5 м3/мин</v>
      </c>
      <c r="H265" t="str">
        <f>SmtRes!O318</f>
        <v>маш.-ч</v>
      </c>
      <c r="I265">
        <f>SmtRes!Y318*Source!I606</f>
        <v>31.020000000000003</v>
      </c>
      <c r="J265">
        <f>SmtRes!AO318</f>
        <v>1</v>
      </c>
      <c r="K265">
        <f>SmtRes!AF318</f>
        <v>470.71</v>
      </c>
      <c r="L265">
        <f>SmtRes!DB318</f>
        <v>62.13</v>
      </c>
      <c r="M265">
        <f>ROUND(ROUND(L265*Source!I606, 6)*1, 2)</f>
        <v>14600.55</v>
      </c>
      <c r="N265">
        <f>SmtRes!AB318</f>
        <v>470.71</v>
      </c>
      <c r="O265">
        <f>ROUND(ROUND(L265*Source!I606, 6)*SmtRes!DA318, 2)</f>
        <v>14600.55</v>
      </c>
      <c r="P265">
        <f>SmtRes!AG318</f>
        <v>359.8</v>
      </c>
      <c r="Q265">
        <f>SmtRes!DC318</f>
        <v>47.49</v>
      </c>
      <c r="R265">
        <f>ROUND(ROUND(Q265*Source!I606, 6)*1, 2)</f>
        <v>11160.15</v>
      </c>
      <c r="S265">
        <f>SmtRes!AC318</f>
        <v>359.8</v>
      </c>
      <c r="T265">
        <f>ROUND(ROUND(Q265*Source!I606, 6)*SmtRes!AK318, 2)</f>
        <v>11160.15</v>
      </c>
      <c r="U265">
        <f>SmtRes!X318</f>
        <v>-1226344697</v>
      </c>
      <c r="V265">
        <v>-277318978</v>
      </c>
      <c r="W265">
        <v>-277318978</v>
      </c>
      <c r="X265">
        <v>2</v>
      </c>
    </row>
    <row r="266" spans="1:24" x14ac:dyDescent="0.2">
      <c r="A266">
        <v>20</v>
      </c>
      <c r="B266">
        <v>332</v>
      </c>
      <c r="C266">
        <v>3</v>
      </c>
      <c r="D266">
        <v>0</v>
      </c>
      <c r="E266">
        <f>SmtRes!AV332</f>
        <v>0</v>
      </c>
      <c r="F266" t="str">
        <f>SmtRes!I332</f>
        <v>21.3-3-19</v>
      </c>
      <c r="G266" t="str">
        <f>SmtRes!K332</f>
        <v>Смеси асфальтобетонные дорожные горячие мелкозернистые, марка II, тип В</v>
      </c>
      <c r="H266" t="str">
        <f>SmtRes!O332</f>
        <v>т</v>
      </c>
      <c r="I266">
        <f>SmtRes!Y332*Source!I607</f>
        <v>64.274210999999994</v>
      </c>
      <c r="J266">
        <f>SmtRes!AO332</f>
        <v>1</v>
      </c>
      <c r="K266">
        <f>SmtRes!AE332</f>
        <v>2562.79</v>
      </c>
      <c r="L266">
        <f>SmtRes!DB332</f>
        <v>14838.55</v>
      </c>
      <c r="M266">
        <f>ROUND(ROUND(L266*Source!I607, 6)*1, 2)</f>
        <v>164721.26</v>
      </c>
      <c r="N266">
        <f>SmtRes!AA332</f>
        <v>2562.79</v>
      </c>
      <c r="O266">
        <f>ROUND(ROUND(L266*Source!I607, 6)*SmtRes!DA332, 2)</f>
        <v>164721.26</v>
      </c>
      <c r="P266">
        <f>SmtRes!AG332</f>
        <v>0</v>
      </c>
      <c r="Q266">
        <f>SmtRes!DC332</f>
        <v>0</v>
      </c>
      <c r="R266">
        <f>ROUND(ROUND(Q266*Source!I607, 6)*1, 2)</f>
        <v>0</v>
      </c>
      <c r="S266">
        <f>SmtRes!AC332</f>
        <v>0</v>
      </c>
      <c r="T266">
        <f>ROUND(ROUND(Q266*Source!I607, 6)*SmtRes!AK332, 2)</f>
        <v>0</v>
      </c>
      <c r="U266">
        <f>SmtRes!X332</f>
        <v>1103439754</v>
      </c>
      <c r="V266">
        <v>1846978656</v>
      </c>
      <c r="W266">
        <v>1846978656</v>
      </c>
      <c r="X266">
        <v>3</v>
      </c>
    </row>
    <row r="267" spans="1:24" x14ac:dyDescent="0.2">
      <c r="A267">
        <v>20</v>
      </c>
      <c r="B267">
        <v>331</v>
      </c>
      <c r="C267">
        <v>3</v>
      </c>
      <c r="D267">
        <v>0</v>
      </c>
      <c r="E267">
        <f>SmtRes!AV331</f>
        <v>0</v>
      </c>
      <c r="F267" t="str">
        <f>SmtRes!I331</f>
        <v>21.1-9-13</v>
      </c>
      <c r="G267" t="str">
        <f>SmtRes!K331</f>
        <v>Бруски хвойных пород обрезные, длина 2-6,5 м, сорт III, толщина 50-60 мм</v>
      </c>
      <c r="H267" t="str">
        <f>SmtRes!O331</f>
        <v>м3</v>
      </c>
      <c r="I267">
        <f>SmtRes!Y331*Source!I607</f>
        <v>0.111009</v>
      </c>
      <c r="J267">
        <f>SmtRes!AO331</f>
        <v>1</v>
      </c>
      <c r="K267">
        <f>SmtRes!AE331</f>
        <v>7064.05</v>
      </c>
      <c r="L267">
        <f>SmtRes!DB331</f>
        <v>70.64</v>
      </c>
      <c r="M267">
        <f>ROUND(ROUND(L267*Source!I607, 6)*1, 2)</f>
        <v>784.17</v>
      </c>
      <c r="N267">
        <f>SmtRes!AA331</f>
        <v>7064.05</v>
      </c>
      <c r="O267">
        <f>ROUND(ROUND(L267*Source!I607, 6)*SmtRes!DA331, 2)</f>
        <v>784.17</v>
      </c>
      <c r="P267">
        <f>SmtRes!AG331</f>
        <v>0</v>
      </c>
      <c r="Q267">
        <f>SmtRes!DC331</f>
        <v>0</v>
      </c>
      <c r="R267">
        <f>ROUND(ROUND(Q267*Source!I607, 6)*1, 2)</f>
        <v>0</v>
      </c>
      <c r="S267">
        <f>SmtRes!AC331</f>
        <v>0</v>
      </c>
      <c r="T267">
        <f>ROUND(ROUND(Q267*Source!I607, 6)*SmtRes!AK331, 2)</f>
        <v>0</v>
      </c>
      <c r="U267">
        <f>SmtRes!X331</f>
        <v>-1674634845</v>
      </c>
      <c r="V267">
        <v>1332636129</v>
      </c>
      <c r="W267">
        <v>1332636129</v>
      </c>
      <c r="X267">
        <v>3</v>
      </c>
    </row>
    <row r="268" spans="1:24" x14ac:dyDescent="0.2">
      <c r="A268">
        <v>20</v>
      </c>
      <c r="B268">
        <v>330</v>
      </c>
      <c r="C268">
        <v>3</v>
      </c>
      <c r="D268">
        <v>0</v>
      </c>
      <c r="E268">
        <f>SmtRes!AV330</f>
        <v>0</v>
      </c>
      <c r="F268" t="str">
        <f>SmtRes!I330</f>
        <v>21.1-1-27</v>
      </c>
      <c r="G268" t="str">
        <f>SmtRes!K330</f>
        <v>Мастика герметизирующая нетвердеющая, строительная, марка "Праймер"</v>
      </c>
      <c r="H268" t="str">
        <f>SmtRes!O330</f>
        <v>т</v>
      </c>
      <c r="I268">
        <f>SmtRes!Y330*Source!I607</f>
        <v>0.76596209999999998</v>
      </c>
      <c r="J268">
        <f>SmtRes!AO330</f>
        <v>1</v>
      </c>
      <c r="K268">
        <f>SmtRes!AE330</f>
        <v>36258.75</v>
      </c>
      <c r="L268">
        <f>SmtRes!DB330</f>
        <v>2501.85</v>
      </c>
      <c r="M268">
        <f>ROUND(ROUND(L268*Source!I607, 6)*1, 2)</f>
        <v>27772.79</v>
      </c>
      <c r="N268">
        <f>SmtRes!AA330</f>
        <v>36258.75</v>
      </c>
      <c r="O268">
        <f>ROUND(ROUND(L268*Source!I607, 6)*SmtRes!DA330, 2)</f>
        <v>27772.79</v>
      </c>
      <c r="P268">
        <f>SmtRes!AG330</f>
        <v>0</v>
      </c>
      <c r="Q268">
        <f>SmtRes!DC330</f>
        <v>0</v>
      </c>
      <c r="R268">
        <f>ROUND(ROUND(Q268*Source!I607, 6)*1, 2)</f>
        <v>0</v>
      </c>
      <c r="S268">
        <f>SmtRes!AC330</f>
        <v>0</v>
      </c>
      <c r="T268">
        <f>ROUND(ROUND(Q268*Source!I607, 6)*SmtRes!AK330, 2)</f>
        <v>0</v>
      </c>
      <c r="U268">
        <f>SmtRes!X330</f>
        <v>1123680579</v>
      </c>
      <c r="V268">
        <v>1595178378</v>
      </c>
      <c r="W268">
        <v>1595178378</v>
      </c>
      <c r="X268">
        <v>3</v>
      </c>
    </row>
    <row r="269" spans="1:24" x14ac:dyDescent="0.2">
      <c r="A269">
        <v>20</v>
      </c>
      <c r="B269">
        <v>329</v>
      </c>
      <c r="C269">
        <v>2</v>
      </c>
      <c r="D269">
        <v>0</v>
      </c>
      <c r="E269">
        <f>SmtRes!AV329</f>
        <v>0</v>
      </c>
      <c r="F269" t="str">
        <f>SmtRes!I329</f>
        <v>22.1-30-1</v>
      </c>
      <c r="G269" t="str">
        <f>SmtRes!K329</f>
        <v>Трамбовки пневматические</v>
      </c>
      <c r="H269" t="str">
        <f>SmtRes!O329</f>
        <v>маш.-ч</v>
      </c>
      <c r="I269">
        <f>SmtRes!Y329*Source!I607</f>
        <v>11.988972</v>
      </c>
      <c r="J269">
        <f>SmtRes!AO329</f>
        <v>1</v>
      </c>
      <c r="K269">
        <f>SmtRes!AF329</f>
        <v>3.75</v>
      </c>
      <c r="L269">
        <f>SmtRes!DB329</f>
        <v>4.05</v>
      </c>
      <c r="M269">
        <f>ROUND(ROUND(L269*Source!I607, 6)*1, 2)</f>
        <v>44.96</v>
      </c>
      <c r="N269">
        <f>SmtRes!AB329</f>
        <v>3.75</v>
      </c>
      <c r="O269">
        <f>ROUND(ROUND(L269*Source!I607, 6)*SmtRes!DA329, 2)</f>
        <v>44.96</v>
      </c>
      <c r="P269">
        <f>SmtRes!AG329</f>
        <v>2.56</v>
      </c>
      <c r="Q269">
        <f>SmtRes!DC329</f>
        <v>2.76</v>
      </c>
      <c r="R269">
        <f>ROUND(ROUND(Q269*Source!I607, 6)*1, 2)</f>
        <v>30.64</v>
      </c>
      <c r="S269">
        <f>SmtRes!AC329</f>
        <v>2.56</v>
      </c>
      <c r="T269">
        <f>ROUND(ROUND(Q269*Source!I607, 6)*SmtRes!AK329, 2)</f>
        <v>30.64</v>
      </c>
      <c r="U269">
        <f>SmtRes!X329</f>
        <v>-1383996176</v>
      </c>
      <c r="V269">
        <v>456524966</v>
      </c>
      <c r="W269">
        <v>456524966</v>
      </c>
      <c r="X269">
        <v>2</v>
      </c>
    </row>
    <row r="270" spans="1:24" x14ac:dyDescent="0.2">
      <c r="A270">
        <v>20</v>
      </c>
      <c r="B270">
        <v>328</v>
      </c>
      <c r="C270">
        <v>2</v>
      </c>
      <c r="D270">
        <v>0</v>
      </c>
      <c r="E270">
        <f>SmtRes!AV328</f>
        <v>0</v>
      </c>
      <c r="F270" t="str">
        <f>SmtRes!I328</f>
        <v>22.1-14-6</v>
      </c>
      <c r="G270" t="str">
        <f>SmtRes!K328</f>
        <v>Агрегаты для подачи грунтовки</v>
      </c>
      <c r="H270" t="str">
        <f>SmtRes!O328</f>
        <v>маш.-ч</v>
      </c>
      <c r="I270">
        <f>SmtRes!Y328*Source!I607</f>
        <v>8.9917289999999994</v>
      </c>
      <c r="J270">
        <f>SmtRes!AO328</f>
        <v>1</v>
      </c>
      <c r="K270">
        <f>SmtRes!AF328</f>
        <v>1977.07</v>
      </c>
      <c r="L270">
        <f>SmtRes!DB328</f>
        <v>1601.43</v>
      </c>
      <c r="M270">
        <f>ROUND(ROUND(L270*Source!I607, 6)*1, 2)</f>
        <v>17777.310000000001</v>
      </c>
      <c r="N270">
        <f>SmtRes!AB328</f>
        <v>1977.07</v>
      </c>
      <c r="O270">
        <f>ROUND(ROUND(L270*Source!I607, 6)*SmtRes!DA328, 2)</f>
        <v>17777.310000000001</v>
      </c>
      <c r="P270">
        <f>SmtRes!AG328</f>
        <v>1200.6500000000001</v>
      </c>
      <c r="Q270">
        <f>SmtRes!DC328</f>
        <v>972.53</v>
      </c>
      <c r="R270">
        <f>ROUND(ROUND(Q270*Source!I607, 6)*1, 2)</f>
        <v>10795.96</v>
      </c>
      <c r="S270">
        <f>SmtRes!AC328</f>
        <v>1200.6500000000001</v>
      </c>
      <c r="T270">
        <f>ROUND(ROUND(Q270*Source!I607, 6)*SmtRes!AK328, 2)</f>
        <v>10795.96</v>
      </c>
      <c r="U270">
        <f>SmtRes!X328</f>
        <v>831329057</v>
      </c>
      <c r="V270">
        <v>1723114365</v>
      </c>
      <c r="W270">
        <v>1723114365</v>
      </c>
      <c r="X270">
        <v>2</v>
      </c>
    </row>
    <row r="271" spans="1:24" x14ac:dyDescent="0.2">
      <c r="A271">
        <v>20</v>
      </c>
      <c r="B271">
        <v>327</v>
      </c>
      <c r="C271">
        <v>2</v>
      </c>
      <c r="D271">
        <v>0</v>
      </c>
      <c r="E271">
        <f>SmtRes!AV327</f>
        <v>0</v>
      </c>
      <c r="F271" t="str">
        <f>SmtRes!I327</f>
        <v>22.1-10-5</v>
      </c>
      <c r="G271" t="str">
        <f>SmtRes!K327</f>
        <v>Компрессоры с дизельным двигателем прицепные до 5 м3/мин</v>
      </c>
      <c r="H271" t="str">
        <f>SmtRes!O327</f>
        <v>маш.-ч</v>
      </c>
      <c r="I271">
        <f>SmtRes!Y327*Source!I607</f>
        <v>6.1054950000000003</v>
      </c>
      <c r="J271">
        <f>SmtRes!AO327</f>
        <v>1</v>
      </c>
      <c r="K271">
        <f>SmtRes!AF327</f>
        <v>744.2</v>
      </c>
      <c r="L271">
        <f>SmtRes!DB327</f>
        <v>409.31</v>
      </c>
      <c r="M271">
        <f>ROUND(ROUND(L271*Source!I607, 6)*1, 2)</f>
        <v>4543.71</v>
      </c>
      <c r="N271">
        <f>SmtRes!AB327</f>
        <v>744.2</v>
      </c>
      <c r="O271">
        <f>ROUND(ROUND(L271*Source!I607, 6)*SmtRes!DA327, 2)</f>
        <v>4543.71</v>
      </c>
      <c r="P271">
        <f>SmtRes!AG327</f>
        <v>423.17</v>
      </c>
      <c r="Q271">
        <f>SmtRes!DC327</f>
        <v>232.74</v>
      </c>
      <c r="R271">
        <f>ROUND(ROUND(Q271*Source!I607, 6)*1, 2)</f>
        <v>2583.62</v>
      </c>
      <c r="S271">
        <f>SmtRes!AC327</f>
        <v>423.17</v>
      </c>
      <c r="T271">
        <f>ROUND(ROUND(Q271*Source!I607, 6)*SmtRes!AK327, 2)</f>
        <v>2583.62</v>
      </c>
      <c r="U271">
        <f>SmtRes!X327</f>
        <v>734322642</v>
      </c>
      <c r="V271">
        <v>158304140</v>
      </c>
      <c r="W271">
        <v>158304140</v>
      </c>
      <c r="X271">
        <v>2</v>
      </c>
    </row>
    <row r="272" spans="1:24" x14ac:dyDescent="0.2">
      <c r="A272">
        <v>20</v>
      </c>
      <c r="B272">
        <v>336</v>
      </c>
      <c r="C272">
        <v>3</v>
      </c>
      <c r="D272">
        <v>0</v>
      </c>
      <c r="E272">
        <f>SmtRes!AV336</f>
        <v>0</v>
      </c>
      <c r="F272" t="str">
        <f>SmtRes!I336</f>
        <v>21.3-3-19</v>
      </c>
      <c r="G272" t="str">
        <f>SmtRes!K336</f>
        <v>Смеси асфальтобетонные дорожные горячие мелкозернистые, марка II, тип В</v>
      </c>
      <c r="H272" t="str">
        <f>SmtRes!O336</f>
        <v>т</v>
      </c>
      <c r="I272">
        <f>SmtRes!Y336*Source!I608</f>
        <v>12.877043999999998</v>
      </c>
      <c r="J272">
        <f>SmtRes!AO336</f>
        <v>1</v>
      </c>
      <c r="K272">
        <f>SmtRes!AE336</f>
        <v>2562.79</v>
      </c>
      <c r="L272">
        <f>SmtRes!DB336</f>
        <v>2972.84</v>
      </c>
      <c r="M272">
        <f>ROUND(ROUND(L272*Source!I608, 6)*1, 2)</f>
        <v>33001.199999999997</v>
      </c>
      <c r="N272">
        <f>SmtRes!AA336</f>
        <v>2562.79</v>
      </c>
      <c r="O272">
        <f>ROUND(ROUND(L272*Source!I608, 6)*SmtRes!DA336, 2)</f>
        <v>33001.199999999997</v>
      </c>
      <c r="P272">
        <f>SmtRes!AG336</f>
        <v>0</v>
      </c>
      <c r="Q272">
        <f>SmtRes!DC336</f>
        <v>0</v>
      </c>
      <c r="R272">
        <f>ROUND(ROUND(Q272*Source!I608, 6)*1, 2)</f>
        <v>0</v>
      </c>
      <c r="S272">
        <f>SmtRes!AC336</f>
        <v>0</v>
      </c>
      <c r="T272">
        <f>ROUND(ROUND(Q272*Source!I608, 6)*SmtRes!AK336, 2)</f>
        <v>0</v>
      </c>
      <c r="U272">
        <f>SmtRes!X336</f>
        <v>1103439754</v>
      </c>
      <c r="V272">
        <v>1846978656</v>
      </c>
      <c r="W272">
        <v>1846978656</v>
      </c>
      <c r="X272">
        <v>3</v>
      </c>
    </row>
    <row r="273" spans="1:24" x14ac:dyDescent="0.2">
      <c r="A273">
        <v>20</v>
      </c>
      <c r="B273">
        <v>335</v>
      </c>
      <c r="C273">
        <v>2</v>
      </c>
      <c r="D273">
        <v>0</v>
      </c>
      <c r="E273">
        <f>SmtRes!AV335</f>
        <v>0</v>
      </c>
      <c r="F273" t="str">
        <f>SmtRes!I335</f>
        <v>22.1-30-1</v>
      </c>
      <c r="G273" t="str">
        <f>SmtRes!K335</f>
        <v>Трамбовки пневматические</v>
      </c>
      <c r="H273" t="str">
        <f>SmtRes!O335</f>
        <v>маш.-ч</v>
      </c>
      <c r="I273">
        <f>SmtRes!Y335*Source!I608</f>
        <v>3.1082520000000002</v>
      </c>
      <c r="J273">
        <f>SmtRes!AO335</f>
        <v>1</v>
      </c>
      <c r="K273">
        <f>SmtRes!AF335</f>
        <v>3.75</v>
      </c>
      <c r="L273">
        <f>SmtRes!DB335</f>
        <v>1.05</v>
      </c>
      <c r="M273">
        <f>ROUND(ROUND(L273*Source!I608, 6)*1, 2)</f>
        <v>11.66</v>
      </c>
      <c r="N273">
        <f>SmtRes!AB335</f>
        <v>3.75</v>
      </c>
      <c r="O273">
        <f>ROUND(ROUND(L273*Source!I608, 6)*SmtRes!DA335, 2)</f>
        <v>11.66</v>
      </c>
      <c r="P273">
        <f>SmtRes!AG335</f>
        <v>2.56</v>
      </c>
      <c r="Q273">
        <f>SmtRes!DC335</f>
        <v>0.72</v>
      </c>
      <c r="R273">
        <f>ROUND(ROUND(Q273*Source!I608, 6)*1, 2)</f>
        <v>7.99</v>
      </c>
      <c r="S273">
        <f>SmtRes!AC335</f>
        <v>2.56</v>
      </c>
      <c r="T273">
        <f>ROUND(ROUND(Q273*Source!I608, 6)*SmtRes!AK335, 2)</f>
        <v>7.99</v>
      </c>
      <c r="U273">
        <f>SmtRes!X335</f>
        <v>-1383996176</v>
      </c>
      <c r="V273">
        <v>456524966</v>
      </c>
      <c r="W273">
        <v>456524966</v>
      </c>
      <c r="X273">
        <v>2</v>
      </c>
    </row>
    <row r="274" spans="1:24" x14ac:dyDescent="0.2">
      <c r="A274">
        <v>20</v>
      </c>
      <c r="B274">
        <v>334</v>
      </c>
      <c r="C274">
        <v>2</v>
      </c>
      <c r="D274">
        <v>0</v>
      </c>
      <c r="E274">
        <f>SmtRes!AV334</f>
        <v>0</v>
      </c>
      <c r="F274" t="str">
        <f>SmtRes!I334</f>
        <v>22.1-10-5</v>
      </c>
      <c r="G274" t="str">
        <f>SmtRes!K334</f>
        <v>Компрессоры с дизельным двигателем прицепные до 5 м3/мин</v>
      </c>
      <c r="H274" t="str">
        <f>SmtRes!O334</f>
        <v>маш.-ч</v>
      </c>
      <c r="I274">
        <f>SmtRes!Y334*Source!I608</f>
        <v>1.5541260000000001</v>
      </c>
      <c r="J274">
        <f>SmtRes!AO334</f>
        <v>1</v>
      </c>
      <c r="K274">
        <f>SmtRes!AF334</f>
        <v>744.2</v>
      </c>
      <c r="L274">
        <f>SmtRes!DB334</f>
        <v>104.19</v>
      </c>
      <c r="M274">
        <f>ROUND(ROUND(L274*Source!I608, 6)*1, 2)</f>
        <v>1156.5999999999999</v>
      </c>
      <c r="N274">
        <f>SmtRes!AB334</f>
        <v>744.2</v>
      </c>
      <c r="O274">
        <f>ROUND(ROUND(L274*Source!I608, 6)*SmtRes!DA334, 2)</f>
        <v>1156.5999999999999</v>
      </c>
      <c r="P274">
        <f>SmtRes!AG334</f>
        <v>423.17</v>
      </c>
      <c r="Q274">
        <f>SmtRes!DC334</f>
        <v>59.24</v>
      </c>
      <c r="R274">
        <f>ROUND(ROUND(Q274*Source!I608, 6)*1, 2)</f>
        <v>657.62</v>
      </c>
      <c r="S274">
        <f>SmtRes!AC334</f>
        <v>423.17</v>
      </c>
      <c r="T274">
        <f>ROUND(ROUND(Q274*Source!I608, 6)*SmtRes!AK334, 2)</f>
        <v>657.62</v>
      </c>
      <c r="U274">
        <f>SmtRes!X334</f>
        <v>734322642</v>
      </c>
      <c r="V274">
        <v>158304140</v>
      </c>
      <c r="W274">
        <v>158304140</v>
      </c>
      <c r="X274">
        <v>2</v>
      </c>
    </row>
    <row r="275" spans="1:24" x14ac:dyDescent="0.2">
      <c r="A275">
        <f>Source!A670</f>
        <v>4</v>
      </c>
      <c r="B275">
        <v>670</v>
      </c>
      <c r="G275" t="str">
        <f>Source!G670</f>
        <v>Хавская ул., д. 15 стр. 1-2</v>
      </c>
    </row>
    <row r="276" spans="1:24" x14ac:dyDescent="0.2">
      <c r="A276">
        <f>Source!A704</f>
        <v>4</v>
      </c>
      <c r="B276">
        <v>704</v>
      </c>
      <c r="G276" t="str">
        <f>Source!G704</f>
        <v>Контейнерная площадка</v>
      </c>
    </row>
    <row r="277" spans="1:24" x14ac:dyDescent="0.2">
      <c r="A277">
        <f>Source!A708</f>
        <v>5</v>
      </c>
      <c r="B277">
        <v>708</v>
      </c>
      <c r="G277" t="str">
        <f>Source!G708</f>
        <v>Демонтажные работы</v>
      </c>
    </row>
    <row r="278" spans="1:24" x14ac:dyDescent="0.2">
      <c r="A278">
        <v>20</v>
      </c>
      <c r="B278">
        <v>341</v>
      </c>
      <c r="C278">
        <v>2</v>
      </c>
      <c r="D278">
        <v>0</v>
      </c>
      <c r="E278">
        <f>SmtRes!AV341</f>
        <v>0</v>
      </c>
      <c r="F278" t="str">
        <f>SmtRes!I341</f>
        <v>22.1-4-45</v>
      </c>
      <c r="G278" t="str">
        <f>SmtRes!K341</f>
        <v>Домкраты гидравлические, грузоподъемность до 100 т</v>
      </c>
      <c r="H278" t="str">
        <f>SmtRes!O341</f>
        <v>маш.-ч</v>
      </c>
      <c r="I278">
        <f>SmtRes!Y341*Source!I712</f>
        <v>1.6500000000000001E-2</v>
      </c>
      <c r="J278">
        <f>SmtRes!AO341</f>
        <v>1</v>
      </c>
      <c r="K278">
        <f>SmtRes!AF341</f>
        <v>10.39</v>
      </c>
      <c r="L278">
        <f>SmtRes!DB341</f>
        <v>2.286</v>
      </c>
      <c r="M278">
        <f>ROUND(ROUND(L278*Source!I712, 6)*1, 2)</f>
        <v>0.17</v>
      </c>
      <c r="N278">
        <f>SmtRes!AB341</f>
        <v>10.39</v>
      </c>
      <c r="O278">
        <f>ROUND(ROUND(L278*Source!I712, 6)*SmtRes!DA341, 2)</f>
        <v>0.17</v>
      </c>
      <c r="P278">
        <f>SmtRes!AG341</f>
        <v>0.03</v>
      </c>
      <c r="Q278">
        <f>SmtRes!DC341</f>
        <v>6.0000000000000001E-3</v>
      </c>
      <c r="R278">
        <f>ROUND(ROUND(Q278*Source!I712, 6)*1, 2)</f>
        <v>0</v>
      </c>
      <c r="S278">
        <f>SmtRes!AC341</f>
        <v>0.03</v>
      </c>
      <c r="T278">
        <f>ROUND(ROUND(Q278*Source!I712, 6)*SmtRes!AK341, 2)</f>
        <v>0</v>
      </c>
      <c r="U278">
        <f>SmtRes!X341</f>
        <v>-699398312</v>
      </c>
      <c r="V278">
        <v>-272556929</v>
      </c>
      <c r="W278">
        <v>-272556929</v>
      </c>
      <c r="X278">
        <v>2</v>
      </c>
    </row>
    <row r="279" spans="1:24" x14ac:dyDescent="0.2">
      <c r="A279">
        <v>20</v>
      </c>
      <c r="B279">
        <v>340</v>
      </c>
      <c r="C279">
        <v>2</v>
      </c>
      <c r="D279">
        <v>0</v>
      </c>
      <c r="E279">
        <f>SmtRes!AV340</f>
        <v>0</v>
      </c>
      <c r="F279" t="str">
        <f>SmtRes!I340</f>
        <v>22.1-30-5</v>
      </c>
      <c r="G279" t="str">
        <f>SmtRes!K340</f>
        <v>Машины сверлильные ручные электрические</v>
      </c>
      <c r="H279" t="str">
        <f>SmtRes!O340</f>
        <v>маш.-ч</v>
      </c>
      <c r="I279">
        <f>SmtRes!Y340*Source!I712</f>
        <v>4.5149999999999996E-2</v>
      </c>
      <c r="J279">
        <f>SmtRes!AO340</f>
        <v>1</v>
      </c>
      <c r="K279">
        <f>SmtRes!AF340</f>
        <v>4.71</v>
      </c>
      <c r="L279">
        <f>SmtRes!DB340</f>
        <v>2.8359999999999999</v>
      </c>
      <c r="M279">
        <f>ROUND(ROUND(L279*Source!I712, 6)*1, 2)</f>
        <v>0.21</v>
      </c>
      <c r="N279">
        <f>SmtRes!AB340</f>
        <v>4.71</v>
      </c>
      <c r="O279">
        <f>ROUND(ROUND(L279*Source!I712, 6)*SmtRes!DA340, 2)</f>
        <v>0.21</v>
      </c>
      <c r="P279">
        <f>SmtRes!AG340</f>
        <v>1.1200000000000001</v>
      </c>
      <c r="Q279">
        <f>SmtRes!DC340</f>
        <v>0.67400000000000004</v>
      </c>
      <c r="R279">
        <f>ROUND(ROUND(Q279*Source!I712, 6)*1, 2)</f>
        <v>0.05</v>
      </c>
      <c r="S279">
        <f>SmtRes!AC340</f>
        <v>1.1200000000000001</v>
      </c>
      <c r="T279">
        <f>ROUND(ROUND(Q279*Source!I712, 6)*SmtRes!AK340, 2)</f>
        <v>0.05</v>
      </c>
      <c r="U279">
        <f>SmtRes!X340</f>
        <v>-2096205149</v>
      </c>
      <c r="V279">
        <v>-1065957140</v>
      </c>
      <c r="W279">
        <v>-1065957140</v>
      </c>
      <c r="X279">
        <v>2</v>
      </c>
    </row>
    <row r="280" spans="1:24" x14ac:dyDescent="0.2">
      <c r="A280">
        <v>20</v>
      </c>
      <c r="B280">
        <v>339</v>
      </c>
      <c r="C280">
        <v>2</v>
      </c>
      <c r="D280">
        <v>0</v>
      </c>
      <c r="E280">
        <f>SmtRes!AV339</f>
        <v>0</v>
      </c>
      <c r="F280" t="str">
        <f>SmtRes!I339</f>
        <v>22.1-30-46</v>
      </c>
      <c r="G280" t="str">
        <f>SmtRes!K339</f>
        <v>Преобразователи частоты тока до 500 А</v>
      </c>
      <c r="H280" t="str">
        <f>SmtRes!O339</f>
        <v>маш.-ч</v>
      </c>
      <c r="I280">
        <f>SmtRes!Y339*Source!I712</f>
        <v>3.0000000000000005E-3</v>
      </c>
      <c r="J280">
        <f>SmtRes!AO339</f>
        <v>1</v>
      </c>
      <c r="K280">
        <f>SmtRes!AF339</f>
        <v>27.02</v>
      </c>
      <c r="L280">
        <f>SmtRes!DB339</f>
        <v>1.08</v>
      </c>
      <c r="M280">
        <f>ROUND(ROUND(L280*Source!I712, 6)*1, 2)</f>
        <v>0.08</v>
      </c>
      <c r="N280">
        <f>SmtRes!AB339</f>
        <v>27.02</v>
      </c>
      <c r="O280">
        <f>ROUND(ROUND(L280*Source!I712, 6)*SmtRes!DA339, 2)</f>
        <v>0.08</v>
      </c>
      <c r="P280">
        <f>SmtRes!AG339</f>
        <v>0.03</v>
      </c>
      <c r="Q280">
        <f>SmtRes!DC339</f>
        <v>2E-3</v>
      </c>
      <c r="R280">
        <f>ROUND(ROUND(Q280*Source!I712, 6)*1, 2)</f>
        <v>0</v>
      </c>
      <c r="S280">
        <f>SmtRes!AC339</f>
        <v>0.03</v>
      </c>
      <c r="T280">
        <f>ROUND(ROUND(Q280*Source!I712, 6)*SmtRes!AK339, 2)</f>
        <v>0</v>
      </c>
      <c r="U280">
        <f>SmtRes!X339</f>
        <v>118009128</v>
      </c>
      <c r="V280">
        <v>222750254</v>
      </c>
      <c r="W280">
        <v>222750254</v>
      </c>
      <c r="X280">
        <v>2</v>
      </c>
    </row>
    <row r="281" spans="1:24" x14ac:dyDescent="0.2">
      <c r="A281">
        <v>20</v>
      </c>
      <c r="B281">
        <v>338</v>
      </c>
      <c r="C281">
        <v>2</v>
      </c>
      <c r="D281">
        <v>0</v>
      </c>
      <c r="E281">
        <f>SmtRes!AV338</f>
        <v>0</v>
      </c>
      <c r="F281" t="str">
        <f>SmtRes!I338</f>
        <v>22.1-13-21</v>
      </c>
      <c r="G281" t="str">
        <f>SmtRes!K338</f>
        <v>Печи электрические для сушки сварочных материалов с регулированием температуры в пределах 80-500С</v>
      </c>
      <c r="H281" t="str">
        <f>SmtRes!O338</f>
        <v>маш.-ч</v>
      </c>
      <c r="I281">
        <f>SmtRes!Y338*Source!I712</f>
        <v>2.9999999999999997E-4</v>
      </c>
      <c r="J281">
        <f>SmtRes!AO338</f>
        <v>1</v>
      </c>
      <c r="K281">
        <f>SmtRes!AF338</f>
        <v>41.19</v>
      </c>
      <c r="L281">
        <f>SmtRes!DB338</f>
        <v>0.16400000000000001</v>
      </c>
      <c r="M281">
        <f>ROUND(ROUND(L281*Source!I712, 6)*1, 2)</f>
        <v>0.01</v>
      </c>
      <c r="N281">
        <f>SmtRes!AB338</f>
        <v>41.19</v>
      </c>
      <c r="O281">
        <f>ROUND(ROUND(L281*Source!I712, 6)*SmtRes!DA338, 2)</f>
        <v>0.01</v>
      </c>
      <c r="P281">
        <f>SmtRes!AG338</f>
        <v>0.34</v>
      </c>
      <c r="Q281">
        <f>SmtRes!DC338</f>
        <v>2E-3</v>
      </c>
      <c r="R281">
        <f>ROUND(ROUND(Q281*Source!I712, 6)*1, 2)</f>
        <v>0</v>
      </c>
      <c r="S281">
        <f>SmtRes!AC338</f>
        <v>0.34</v>
      </c>
      <c r="T281">
        <f>ROUND(ROUND(Q281*Source!I712, 6)*SmtRes!AK338, 2)</f>
        <v>0</v>
      </c>
      <c r="U281">
        <f>SmtRes!X338</f>
        <v>844705367</v>
      </c>
      <c r="V281">
        <v>953863627</v>
      </c>
      <c r="W281">
        <v>953863627</v>
      </c>
      <c r="X281">
        <v>2</v>
      </c>
    </row>
    <row r="282" spans="1:24" x14ac:dyDescent="0.2">
      <c r="A282">
        <v>20</v>
      </c>
      <c r="B282">
        <v>346</v>
      </c>
      <c r="C282">
        <v>2</v>
      </c>
      <c r="D282">
        <v>0</v>
      </c>
      <c r="E282">
        <f>SmtRes!AV346</f>
        <v>0</v>
      </c>
      <c r="F282" t="str">
        <f>SmtRes!I346</f>
        <v>22.1-4-31</v>
      </c>
      <c r="G282" t="str">
        <f>SmtRes!K346</f>
        <v>Лебедки электрические, грузоподъемность до 1,5 т</v>
      </c>
      <c r="H282" t="str">
        <f>SmtRes!O346</f>
        <v>маш.-ч</v>
      </c>
      <c r="I282">
        <f>SmtRes!Y346*Source!I713</f>
        <v>1.2000000000000002</v>
      </c>
      <c r="J282">
        <f>SmtRes!AO346</f>
        <v>1</v>
      </c>
      <c r="K282">
        <f>SmtRes!AF346</f>
        <v>31</v>
      </c>
      <c r="L282">
        <f>SmtRes!DB346</f>
        <v>148.80000000000001</v>
      </c>
      <c r="M282">
        <f>ROUND(ROUND(L282*Source!I713, 6)*1, 2)</f>
        <v>37.200000000000003</v>
      </c>
      <c r="N282">
        <f>SmtRes!AB346</f>
        <v>31</v>
      </c>
      <c r="O282">
        <f>ROUND(ROUND(L282*Source!I713, 6)*SmtRes!DA346, 2)</f>
        <v>37.200000000000003</v>
      </c>
      <c r="P282">
        <f>SmtRes!AG346</f>
        <v>1.35</v>
      </c>
      <c r="Q282">
        <f>SmtRes!DC346</f>
        <v>6.48</v>
      </c>
      <c r="R282">
        <f>ROUND(ROUND(Q282*Source!I713, 6)*1, 2)</f>
        <v>1.62</v>
      </c>
      <c r="S282">
        <f>SmtRes!AC346</f>
        <v>1.35</v>
      </c>
      <c r="T282">
        <f>ROUND(ROUND(Q282*Source!I713, 6)*SmtRes!AK346, 2)</f>
        <v>1.62</v>
      </c>
      <c r="U282">
        <f>SmtRes!X346</f>
        <v>-204835879</v>
      </c>
      <c r="V282">
        <v>1844315211</v>
      </c>
      <c r="W282">
        <v>1844315211</v>
      </c>
      <c r="X282">
        <v>2</v>
      </c>
    </row>
    <row r="283" spans="1:24" x14ac:dyDescent="0.2">
      <c r="A283">
        <f>Source!A746</f>
        <v>5</v>
      </c>
      <c r="B283">
        <v>746</v>
      </c>
      <c r="G283" t="str">
        <f>Source!G746</f>
        <v>Строительные работы</v>
      </c>
    </row>
    <row r="284" spans="1:24" x14ac:dyDescent="0.2">
      <c r="A284">
        <v>20</v>
      </c>
      <c r="B284">
        <v>360</v>
      </c>
      <c r="C284">
        <v>3</v>
      </c>
      <c r="D284">
        <v>0</v>
      </c>
      <c r="E284">
        <f>SmtRes!AV360</f>
        <v>0</v>
      </c>
      <c r="F284" t="str">
        <f>SmtRes!I360</f>
        <v>21.3-3-19</v>
      </c>
      <c r="G284" t="str">
        <f>SmtRes!K360</f>
        <v>Смеси асфальтобетонные дорожные горячие мелкозернистые, марка II, тип В</v>
      </c>
      <c r="H284" t="str">
        <f>SmtRes!O360</f>
        <v>т</v>
      </c>
      <c r="I284">
        <f>SmtRes!Y360*Source!I750</f>
        <v>0.4632</v>
      </c>
      <c r="J284">
        <f>SmtRes!AO360</f>
        <v>1</v>
      </c>
      <c r="K284">
        <f>SmtRes!AE360</f>
        <v>2562.79</v>
      </c>
      <c r="L284">
        <f>SmtRes!DB360</f>
        <v>14838.55</v>
      </c>
      <c r="M284">
        <f>ROUND(ROUND(L284*Source!I750, 6)*1, 2)</f>
        <v>1187.08</v>
      </c>
      <c r="N284">
        <f>SmtRes!AA360</f>
        <v>2562.79</v>
      </c>
      <c r="O284">
        <f>ROUND(ROUND(L284*Source!I750, 6)*SmtRes!DA360, 2)</f>
        <v>1187.08</v>
      </c>
      <c r="P284">
        <f>SmtRes!AG360</f>
        <v>0</v>
      </c>
      <c r="Q284">
        <f>SmtRes!DC360</f>
        <v>0</v>
      </c>
      <c r="R284">
        <f>ROUND(ROUND(Q284*Source!I750, 6)*1, 2)</f>
        <v>0</v>
      </c>
      <c r="S284">
        <f>SmtRes!AC360</f>
        <v>0</v>
      </c>
      <c r="T284">
        <f>ROUND(ROUND(Q284*Source!I750, 6)*SmtRes!AK360, 2)</f>
        <v>0</v>
      </c>
      <c r="U284">
        <f>SmtRes!X360</f>
        <v>1103439754</v>
      </c>
      <c r="V284">
        <v>1846978656</v>
      </c>
      <c r="W284">
        <v>1846978656</v>
      </c>
      <c r="X284">
        <v>3</v>
      </c>
    </row>
    <row r="285" spans="1:24" x14ac:dyDescent="0.2">
      <c r="A285">
        <v>20</v>
      </c>
      <c r="B285">
        <v>359</v>
      </c>
      <c r="C285">
        <v>3</v>
      </c>
      <c r="D285">
        <v>0</v>
      </c>
      <c r="E285">
        <f>SmtRes!AV359</f>
        <v>0</v>
      </c>
      <c r="F285" t="str">
        <f>SmtRes!I359</f>
        <v>21.1-9-13</v>
      </c>
      <c r="G285" t="str">
        <f>SmtRes!K359</f>
        <v>Бруски хвойных пород обрезные, длина 2-6,5 м, сорт III, толщина 50-60 мм</v>
      </c>
      <c r="H285" t="str">
        <f>SmtRes!O359</f>
        <v>м3</v>
      </c>
      <c r="I285">
        <f>SmtRes!Y359*Source!I750</f>
        <v>8.0000000000000004E-4</v>
      </c>
      <c r="J285">
        <f>SmtRes!AO359</f>
        <v>1</v>
      </c>
      <c r="K285">
        <f>SmtRes!AE359</f>
        <v>7064.05</v>
      </c>
      <c r="L285">
        <f>SmtRes!DB359</f>
        <v>70.64</v>
      </c>
      <c r="M285">
        <f>ROUND(ROUND(L285*Source!I750, 6)*1, 2)</f>
        <v>5.65</v>
      </c>
      <c r="N285">
        <f>SmtRes!AA359</f>
        <v>7064.05</v>
      </c>
      <c r="O285">
        <f>ROUND(ROUND(L285*Source!I750, 6)*SmtRes!DA359, 2)</f>
        <v>5.65</v>
      </c>
      <c r="P285">
        <f>SmtRes!AG359</f>
        <v>0</v>
      </c>
      <c r="Q285">
        <f>SmtRes!DC359</f>
        <v>0</v>
      </c>
      <c r="R285">
        <f>ROUND(ROUND(Q285*Source!I750, 6)*1, 2)</f>
        <v>0</v>
      </c>
      <c r="S285">
        <f>SmtRes!AC359</f>
        <v>0</v>
      </c>
      <c r="T285">
        <f>ROUND(ROUND(Q285*Source!I750, 6)*SmtRes!AK359, 2)</f>
        <v>0</v>
      </c>
      <c r="U285">
        <f>SmtRes!X359</f>
        <v>-1674634845</v>
      </c>
      <c r="V285">
        <v>1332636129</v>
      </c>
      <c r="W285">
        <v>1332636129</v>
      </c>
      <c r="X285">
        <v>3</v>
      </c>
    </row>
    <row r="286" spans="1:24" x14ac:dyDescent="0.2">
      <c r="A286">
        <v>20</v>
      </c>
      <c r="B286">
        <v>358</v>
      </c>
      <c r="C286">
        <v>3</v>
      </c>
      <c r="D286">
        <v>0</v>
      </c>
      <c r="E286">
        <f>SmtRes!AV358</f>
        <v>0</v>
      </c>
      <c r="F286" t="str">
        <f>SmtRes!I358</f>
        <v>21.1-1-27</v>
      </c>
      <c r="G286" t="str">
        <f>SmtRes!K358</f>
        <v>Мастика герметизирующая нетвердеющая, строительная, марка "Праймер"</v>
      </c>
      <c r="H286" t="str">
        <f>SmtRes!O358</f>
        <v>т</v>
      </c>
      <c r="I286">
        <f>SmtRes!Y358*Source!I750</f>
        <v>5.5200000000000006E-3</v>
      </c>
      <c r="J286">
        <f>SmtRes!AO358</f>
        <v>1</v>
      </c>
      <c r="K286">
        <f>SmtRes!AE358</f>
        <v>36258.75</v>
      </c>
      <c r="L286">
        <f>SmtRes!DB358</f>
        <v>2501.85</v>
      </c>
      <c r="M286">
        <f>ROUND(ROUND(L286*Source!I750, 6)*1, 2)</f>
        <v>200.15</v>
      </c>
      <c r="N286">
        <f>SmtRes!AA358</f>
        <v>36258.75</v>
      </c>
      <c r="O286">
        <f>ROUND(ROUND(L286*Source!I750, 6)*SmtRes!DA358, 2)</f>
        <v>200.15</v>
      </c>
      <c r="P286">
        <f>SmtRes!AG358</f>
        <v>0</v>
      </c>
      <c r="Q286">
        <f>SmtRes!DC358</f>
        <v>0</v>
      </c>
      <c r="R286">
        <f>ROUND(ROUND(Q286*Source!I750, 6)*1, 2)</f>
        <v>0</v>
      </c>
      <c r="S286">
        <f>SmtRes!AC358</f>
        <v>0</v>
      </c>
      <c r="T286">
        <f>ROUND(ROUND(Q286*Source!I750, 6)*SmtRes!AK358, 2)</f>
        <v>0</v>
      </c>
      <c r="U286">
        <f>SmtRes!X358</f>
        <v>1123680579</v>
      </c>
      <c r="V286">
        <v>1595178378</v>
      </c>
      <c r="W286">
        <v>1595178378</v>
      </c>
      <c r="X286">
        <v>3</v>
      </c>
    </row>
    <row r="287" spans="1:24" x14ac:dyDescent="0.2">
      <c r="A287">
        <v>20</v>
      </c>
      <c r="B287">
        <v>357</v>
      </c>
      <c r="C287">
        <v>2</v>
      </c>
      <c r="D287">
        <v>0</v>
      </c>
      <c r="E287">
        <f>SmtRes!AV357</f>
        <v>0</v>
      </c>
      <c r="F287" t="str">
        <f>SmtRes!I357</f>
        <v>22.1-30-1</v>
      </c>
      <c r="G287" t="str">
        <f>SmtRes!K357</f>
        <v>Трамбовки пневматические</v>
      </c>
      <c r="H287" t="str">
        <f>SmtRes!O357</f>
        <v>маш.-ч</v>
      </c>
      <c r="I287">
        <f>SmtRes!Y357*Source!I750</f>
        <v>8.6400000000000005E-2</v>
      </c>
      <c r="J287">
        <f>SmtRes!AO357</f>
        <v>1</v>
      </c>
      <c r="K287">
        <f>SmtRes!AF357</f>
        <v>3.75</v>
      </c>
      <c r="L287">
        <f>SmtRes!DB357</f>
        <v>4.05</v>
      </c>
      <c r="M287">
        <f>ROUND(ROUND(L287*Source!I750, 6)*1, 2)</f>
        <v>0.32</v>
      </c>
      <c r="N287">
        <f>SmtRes!AB357</f>
        <v>3.75</v>
      </c>
      <c r="O287">
        <f>ROUND(ROUND(L287*Source!I750, 6)*SmtRes!DA357, 2)</f>
        <v>0.32</v>
      </c>
      <c r="P287">
        <f>SmtRes!AG357</f>
        <v>2.56</v>
      </c>
      <c r="Q287">
        <f>SmtRes!DC357</f>
        <v>2.76</v>
      </c>
      <c r="R287">
        <f>ROUND(ROUND(Q287*Source!I750, 6)*1, 2)</f>
        <v>0.22</v>
      </c>
      <c r="S287">
        <f>SmtRes!AC357</f>
        <v>2.56</v>
      </c>
      <c r="T287">
        <f>ROUND(ROUND(Q287*Source!I750, 6)*SmtRes!AK357, 2)</f>
        <v>0.22</v>
      </c>
      <c r="U287">
        <f>SmtRes!X357</f>
        <v>-1383996176</v>
      </c>
      <c r="V287">
        <v>456524966</v>
      </c>
      <c r="W287">
        <v>456524966</v>
      </c>
      <c r="X287">
        <v>2</v>
      </c>
    </row>
    <row r="288" spans="1:24" x14ac:dyDescent="0.2">
      <c r="A288">
        <v>20</v>
      </c>
      <c r="B288">
        <v>356</v>
      </c>
      <c r="C288">
        <v>2</v>
      </c>
      <c r="D288">
        <v>0</v>
      </c>
      <c r="E288">
        <f>SmtRes!AV356</f>
        <v>0</v>
      </c>
      <c r="F288" t="str">
        <f>SmtRes!I356</f>
        <v>22.1-14-6</v>
      </c>
      <c r="G288" t="str">
        <f>SmtRes!K356</f>
        <v>Агрегаты для подачи грунтовки</v>
      </c>
      <c r="H288" t="str">
        <f>SmtRes!O356</f>
        <v>маш.-ч</v>
      </c>
      <c r="I288">
        <f>SmtRes!Y356*Source!I750</f>
        <v>6.480000000000001E-2</v>
      </c>
      <c r="J288">
        <f>SmtRes!AO356</f>
        <v>1</v>
      </c>
      <c r="K288">
        <f>SmtRes!AF356</f>
        <v>1977.07</v>
      </c>
      <c r="L288">
        <f>SmtRes!DB356</f>
        <v>1601.43</v>
      </c>
      <c r="M288">
        <f>ROUND(ROUND(L288*Source!I750, 6)*1, 2)</f>
        <v>128.11000000000001</v>
      </c>
      <c r="N288">
        <f>SmtRes!AB356</f>
        <v>1977.07</v>
      </c>
      <c r="O288">
        <f>ROUND(ROUND(L288*Source!I750, 6)*SmtRes!DA356, 2)</f>
        <v>128.11000000000001</v>
      </c>
      <c r="P288">
        <f>SmtRes!AG356</f>
        <v>1200.6500000000001</v>
      </c>
      <c r="Q288">
        <f>SmtRes!DC356</f>
        <v>972.53</v>
      </c>
      <c r="R288">
        <f>ROUND(ROUND(Q288*Source!I750, 6)*1, 2)</f>
        <v>77.8</v>
      </c>
      <c r="S288">
        <f>SmtRes!AC356</f>
        <v>1200.6500000000001</v>
      </c>
      <c r="T288">
        <f>ROUND(ROUND(Q288*Source!I750, 6)*SmtRes!AK356, 2)</f>
        <v>77.8</v>
      </c>
      <c r="U288">
        <f>SmtRes!X356</f>
        <v>831329057</v>
      </c>
      <c r="V288">
        <v>1723114365</v>
      </c>
      <c r="W288">
        <v>1723114365</v>
      </c>
      <c r="X288">
        <v>2</v>
      </c>
    </row>
    <row r="289" spans="1:24" x14ac:dyDescent="0.2">
      <c r="A289">
        <v>20</v>
      </c>
      <c r="B289">
        <v>355</v>
      </c>
      <c r="C289">
        <v>2</v>
      </c>
      <c r="D289">
        <v>0</v>
      </c>
      <c r="E289">
        <f>SmtRes!AV355</f>
        <v>0</v>
      </c>
      <c r="F289" t="str">
        <f>SmtRes!I355</f>
        <v>22.1-10-5</v>
      </c>
      <c r="G289" t="str">
        <f>SmtRes!K355</f>
        <v>Компрессоры с дизельным двигателем прицепные до 5 м3/мин</v>
      </c>
      <c r="H289" t="str">
        <f>SmtRes!O355</f>
        <v>маш.-ч</v>
      </c>
      <c r="I289">
        <f>SmtRes!Y355*Source!I750</f>
        <v>4.4000000000000004E-2</v>
      </c>
      <c r="J289">
        <f>SmtRes!AO355</f>
        <v>1</v>
      </c>
      <c r="K289">
        <f>SmtRes!AF355</f>
        <v>744.2</v>
      </c>
      <c r="L289">
        <f>SmtRes!DB355</f>
        <v>409.31</v>
      </c>
      <c r="M289">
        <f>ROUND(ROUND(L289*Source!I750, 6)*1, 2)</f>
        <v>32.74</v>
      </c>
      <c r="N289">
        <f>SmtRes!AB355</f>
        <v>744.2</v>
      </c>
      <c r="O289">
        <f>ROUND(ROUND(L289*Source!I750, 6)*SmtRes!DA355, 2)</f>
        <v>32.74</v>
      </c>
      <c r="P289">
        <f>SmtRes!AG355</f>
        <v>423.17</v>
      </c>
      <c r="Q289">
        <f>SmtRes!DC355</f>
        <v>232.74</v>
      </c>
      <c r="R289">
        <f>ROUND(ROUND(Q289*Source!I750, 6)*1, 2)</f>
        <v>18.62</v>
      </c>
      <c r="S289">
        <f>SmtRes!AC355</f>
        <v>423.17</v>
      </c>
      <c r="T289">
        <f>ROUND(ROUND(Q289*Source!I750, 6)*SmtRes!AK355, 2)</f>
        <v>18.62</v>
      </c>
      <c r="U289">
        <f>SmtRes!X355</f>
        <v>734322642</v>
      </c>
      <c r="V289">
        <v>158304140</v>
      </c>
      <c r="W289">
        <v>158304140</v>
      </c>
      <c r="X289">
        <v>2</v>
      </c>
    </row>
    <row r="290" spans="1:24" x14ac:dyDescent="0.2">
      <c r="A290">
        <v>20</v>
      </c>
      <c r="B290">
        <v>364</v>
      </c>
      <c r="C290">
        <v>3</v>
      </c>
      <c r="D290">
        <v>0</v>
      </c>
      <c r="E290">
        <f>SmtRes!AV364</f>
        <v>0</v>
      </c>
      <c r="F290" t="str">
        <f>SmtRes!I364</f>
        <v>21.3-3-19</v>
      </c>
      <c r="G290" t="str">
        <f>SmtRes!K364</f>
        <v>Смеси асфальтобетонные дорожные горячие мелкозернистые, марка II, тип В</v>
      </c>
      <c r="H290" t="str">
        <f>SmtRes!O364</f>
        <v>т</v>
      </c>
      <c r="I290">
        <f>SmtRes!Y364*Source!I751</f>
        <v>9.2799999999999994E-2</v>
      </c>
      <c r="J290">
        <f>SmtRes!AO364</f>
        <v>1</v>
      </c>
      <c r="K290">
        <f>SmtRes!AE364</f>
        <v>2562.79</v>
      </c>
      <c r="L290">
        <f>SmtRes!DB364</f>
        <v>2972.84</v>
      </c>
      <c r="M290">
        <f>ROUND(ROUND(L290*Source!I751, 6)*1, 2)</f>
        <v>237.83</v>
      </c>
      <c r="N290">
        <f>SmtRes!AA364</f>
        <v>2562.79</v>
      </c>
      <c r="O290">
        <f>ROUND(ROUND(L290*Source!I751, 6)*SmtRes!DA364, 2)</f>
        <v>237.83</v>
      </c>
      <c r="P290">
        <f>SmtRes!AG364</f>
        <v>0</v>
      </c>
      <c r="Q290">
        <f>SmtRes!DC364</f>
        <v>0</v>
      </c>
      <c r="R290">
        <f>ROUND(ROUND(Q290*Source!I751, 6)*1, 2)</f>
        <v>0</v>
      </c>
      <c r="S290">
        <f>SmtRes!AC364</f>
        <v>0</v>
      </c>
      <c r="T290">
        <f>ROUND(ROUND(Q290*Source!I751, 6)*SmtRes!AK364, 2)</f>
        <v>0</v>
      </c>
      <c r="U290">
        <f>SmtRes!X364</f>
        <v>1103439754</v>
      </c>
      <c r="V290">
        <v>1846978656</v>
      </c>
      <c r="W290">
        <v>1846978656</v>
      </c>
      <c r="X290">
        <v>3</v>
      </c>
    </row>
    <row r="291" spans="1:24" x14ac:dyDescent="0.2">
      <c r="A291">
        <v>20</v>
      </c>
      <c r="B291">
        <v>363</v>
      </c>
      <c r="C291">
        <v>2</v>
      </c>
      <c r="D291">
        <v>0</v>
      </c>
      <c r="E291">
        <f>SmtRes!AV363</f>
        <v>0</v>
      </c>
      <c r="F291" t="str">
        <f>SmtRes!I363</f>
        <v>22.1-30-1</v>
      </c>
      <c r="G291" t="str">
        <f>SmtRes!K363</f>
        <v>Трамбовки пневматические</v>
      </c>
      <c r="H291" t="str">
        <f>SmtRes!O363</f>
        <v>маш.-ч</v>
      </c>
      <c r="I291">
        <f>SmtRes!Y363*Source!I751</f>
        <v>2.2400000000000003E-2</v>
      </c>
      <c r="J291">
        <f>SmtRes!AO363</f>
        <v>1</v>
      </c>
      <c r="K291">
        <f>SmtRes!AF363</f>
        <v>3.75</v>
      </c>
      <c r="L291">
        <f>SmtRes!DB363</f>
        <v>1.05</v>
      </c>
      <c r="M291">
        <f>ROUND(ROUND(L291*Source!I751, 6)*1, 2)</f>
        <v>0.08</v>
      </c>
      <c r="N291">
        <f>SmtRes!AB363</f>
        <v>3.75</v>
      </c>
      <c r="O291">
        <f>ROUND(ROUND(L291*Source!I751, 6)*SmtRes!DA363, 2)</f>
        <v>0.08</v>
      </c>
      <c r="P291">
        <f>SmtRes!AG363</f>
        <v>2.56</v>
      </c>
      <c r="Q291">
        <f>SmtRes!DC363</f>
        <v>0.72</v>
      </c>
      <c r="R291">
        <f>ROUND(ROUND(Q291*Source!I751, 6)*1, 2)</f>
        <v>0.06</v>
      </c>
      <c r="S291">
        <f>SmtRes!AC363</f>
        <v>2.56</v>
      </c>
      <c r="T291">
        <f>ROUND(ROUND(Q291*Source!I751, 6)*SmtRes!AK363, 2)</f>
        <v>0.06</v>
      </c>
      <c r="U291">
        <f>SmtRes!X363</f>
        <v>-1383996176</v>
      </c>
      <c r="V291">
        <v>456524966</v>
      </c>
      <c r="W291">
        <v>456524966</v>
      </c>
      <c r="X291">
        <v>2</v>
      </c>
    </row>
    <row r="292" spans="1:24" x14ac:dyDescent="0.2">
      <c r="A292">
        <v>20</v>
      </c>
      <c r="B292">
        <v>362</v>
      </c>
      <c r="C292">
        <v>2</v>
      </c>
      <c r="D292">
        <v>0</v>
      </c>
      <c r="E292">
        <f>SmtRes!AV362</f>
        <v>0</v>
      </c>
      <c r="F292" t="str">
        <f>SmtRes!I362</f>
        <v>22.1-10-5</v>
      </c>
      <c r="G292" t="str">
        <f>SmtRes!K362</f>
        <v>Компрессоры с дизельным двигателем прицепные до 5 м3/мин</v>
      </c>
      <c r="H292" t="str">
        <f>SmtRes!O362</f>
        <v>маш.-ч</v>
      </c>
      <c r="I292">
        <f>SmtRes!Y362*Source!I751</f>
        <v>1.1200000000000002E-2</v>
      </c>
      <c r="J292">
        <f>SmtRes!AO362</f>
        <v>1</v>
      </c>
      <c r="K292">
        <f>SmtRes!AF362</f>
        <v>744.2</v>
      </c>
      <c r="L292">
        <f>SmtRes!DB362</f>
        <v>104.19</v>
      </c>
      <c r="M292">
        <f>ROUND(ROUND(L292*Source!I751, 6)*1, 2)</f>
        <v>8.34</v>
      </c>
      <c r="N292">
        <f>SmtRes!AB362</f>
        <v>744.2</v>
      </c>
      <c r="O292">
        <f>ROUND(ROUND(L292*Source!I751, 6)*SmtRes!DA362, 2)</f>
        <v>8.34</v>
      </c>
      <c r="P292">
        <f>SmtRes!AG362</f>
        <v>423.17</v>
      </c>
      <c r="Q292">
        <f>SmtRes!DC362</f>
        <v>59.24</v>
      </c>
      <c r="R292">
        <f>ROUND(ROUND(Q292*Source!I751, 6)*1, 2)</f>
        <v>4.74</v>
      </c>
      <c r="S292">
        <f>SmtRes!AC362</f>
        <v>423.17</v>
      </c>
      <c r="T292">
        <f>ROUND(ROUND(Q292*Source!I751, 6)*SmtRes!AK362, 2)</f>
        <v>4.74</v>
      </c>
      <c r="U292">
        <f>SmtRes!X362</f>
        <v>734322642</v>
      </c>
      <c r="V292">
        <v>158304140</v>
      </c>
      <c r="W292">
        <v>158304140</v>
      </c>
      <c r="X292">
        <v>2</v>
      </c>
    </row>
    <row r="293" spans="1:24" x14ac:dyDescent="0.2">
      <c r="A293">
        <v>20</v>
      </c>
      <c r="B293">
        <v>369</v>
      </c>
      <c r="C293">
        <v>3</v>
      </c>
      <c r="D293">
        <v>0</v>
      </c>
      <c r="E293">
        <f>SmtRes!AV369</f>
        <v>0</v>
      </c>
      <c r="F293" t="str">
        <f>SmtRes!I369</f>
        <v>21.6-1-52</v>
      </c>
      <c r="G293" t="str">
        <f>SmtRes!K369</f>
        <v>Отдельные конструктивные элементы с преобладанием горячекатаных профилей, средняя масса сборочной единицы от 0,51 до 1,0 т</v>
      </c>
      <c r="H293" t="str">
        <f>SmtRes!O369</f>
        <v>т</v>
      </c>
      <c r="I293">
        <f>SmtRes!Y369*Source!I752</f>
        <v>0.5</v>
      </c>
      <c r="J293">
        <f>SmtRes!AO369</f>
        <v>1</v>
      </c>
      <c r="K293">
        <f>SmtRes!AE369</f>
        <v>75026.559999999998</v>
      </c>
      <c r="L293">
        <f>SmtRes!DB369</f>
        <v>75026.559999999998</v>
      </c>
      <c r="M293">
        <f>ROUND(ROUND(L293*Source!I752, 6)*1, 2)</f>
        <v>37513.279999999999</v>
      </c>
      <c r="N293">
        <f>SmtRes!AA369</f>
        <v>75026.559999999998</v>
      </c>
      <c r="O293">
        <f>ROUND(ROUND(L293*Source!I752, 6)*SmtRes!DA369, 2)</f>
        <v>37513.279999999999</v>
      </c>
      <c r="P293">
        <f>SmtRes!AG369</f>
        <v>0</v>
      </c>
      <c r="Q293">
        <f>SmtRes!DC369</f>
        <v>0</v>
      </c>
      <c r="R293">
        <f>ROUND(ROUND(Q293*Source!I752, 6)*1, 2)</f>
        <v>0</v>
      </c>
      <c r="S293">
        <f>SmtRes!AC369</f>
        <v>0</v>
      </c>
      <c r="T293">
        <f>ROUND(ROUND(Q293*Source!I752, 6)*SmtRes!AK369, 2)</f>
        <v>0</v>
      </c>
      <c r="U293">
        <f>SmtRes!X369</f>
        <v>485376408</v>
      </c>
      <c r="V293">
        <v>-1688827510</v>
      </c>
      <c r="W293">
        <v>-1688827510</v>
      </c>
      <c r="X293">
        <v>3</v>
      </c>
    </row>
    <row r="294" spans="1:24" x14ac:dyDescent="0.2">
      <c r="A294">
        <v>20</v>
      </c>
      <c r="B294">
        <v>368</v>
      </c>
      <c r="C294">
        <v>3</v>
      </c>
      <c r="D294">
        <v>0</v>
      </c>
      <c r="E294">
        <f>SmtRes!AV368</f>
        <v>0</v>
      </c>
      <c r="F294" t="str">
        <f>SmtRes!I368</f>
        <v>21.1-23-9</v>
      </c>
      <c r="G294" t="str">
        <f>SmtRes!K368</f>
        <v>Электроды, тип Э-42, 46, 50, диаметр 4 - 6 мм</v>
      </c>
      <c r="H294" t="str">
        <f>SmtRes!O368</f>
        <v>т</v>
      </c>
      <c r="I294">
        <f>SmtRes!Y368*Source!I752</f>
        <v>6.9999999999999999E-4</v>
      </c>
      <c r="J294">
        <f>SmtRes!AO368</f>
        <v>1</v>
      </c>
      <c r="K294">
        <f>SmtRes!AE368</f>
        <v>110781.14</v>
      </c>
      <c r="L294">
        <f>SmtRes!DB368</f>
        <v>155.09</v>
      </c>
      <c r="M294">
        <f>ROUND(ROUND(L294*Source!I752, 6)*1, 2)</f>
        <v>77.55</v>
      </c>
      <c r="N294">
        <f>SmtRes!AA368</f>
        <v>110781.14</v>
      </c>
      <c r="O294">
        <f>ROUND(ROUND(L294*Source!I752, 6)*SmtRes!DA368, 2)</f>
        <v>77.55</v>
      </c>
      <c r="P294">
        <f>SmtRes!AG368</f>
        <v>0</v>
      </c>
      <c r="Q294">
        <f>SmtRes!DC368</f>
        <v>0</v>
      </c>
      <c r="R294">
        <f>ROUND(ROUND(Q294*Source!I752, 6)*1, 2)</f>
        <v>0</v>
      </c>
      <c r="S294">
        <f>SmtRes!AC368</f>
        <v>0</v>
      </c>
      <c r="T294">
        <f>ROUND(ROUND(Q294*Source!I752, 6)*SmtRes!AK368, 2)</f>
        <v>0</v>
      </c>
      <c r="U294">
        <f>SmtRes!X368</f>
        <v>-941081254</v>
      </c>
      <c r="V294">
        <v>1991017595</v>
      </c>
      <c r="W294">
        <v>1991017595</v>
      </c>
      <c r="X294">
        <v>3</v>
      </c>
    </row>
    <row r="295" spans="1:24" x14ac:dyDescent="0.2">
      <c r="A295">
        <v>20</v>
      </c>
      <c r="B295">
        <v>367</v>
      </c>
      <c r="C295">
        <v>3</v>
      </c>
      <c r="D295">
        <v>0</v>
      </c>
      <c r="E295">
        <f>SmtRes!AV367</f>
        <v>0</v>
      </c>
      <c r="F295" t="str">
        <f>SmtRes!I367</f>
        <v>21.1-11-21</v>
      </c>
      <c r="G295" t="str">
        <f>SmtRes!K367</f>
        <v>Болты строительные черные с гайками и шайбами (10х100мм)</v>
      </c>
      <c r="H295" t="str">
        <f>SmtRes!O367</f>
        <v>т</v>
      </c>
      <c r="I295">
        <f>SmtRes!Y367*Source!I752</f>
        <v>1.65E-3</v>
      </c>
      <c r="J295">
        <f>SmtRes!AO367</f>
        <v>1</v>
      </c>
      <c r="K295">
        <f>SmtRes!AE367</f>
        <v>105084.63</v>
      </c>
      <c r="L295">
        <f>SmtRes!DB367</f>
        <v>346.78</v>
      </c>
      <c r="M295">
        <f>ROUND(ROUND(L295*Source!I752, 6)*1, 2)</f>
        <v>173.39</v>
      </c>
      <c r="N295">
        <f>SmtRes!AA367</f>
        <v>105084.63</v>
      </c>
      <c r="O295">
        <f>ROUND(ROUND(L295*Source!I752, 6)*SmtRes!DA367, 2)</f>
        <v>173.39</v>
      </c>
      <c r="P295">
        <f>SmtRes!AG367</f>
        <v>0</v>
      </c>
      <c r="Q295">
        <f>SmtRes!DC367</f>
        <v>0</v>
      </c>
      <c r="R295">
        <f>ROUND(ROUND(Q295*Source!I752, 6)*1, 2)</f>
        <v>0</v>
      </c>
      <c r="S295">
        <f>SmtRes!AC367</f>
        <v>0</v>
      </c>
      <c r="T295">
        <f>ROUND(ROUND(Q295*Source!I752, 6)*SmtRes!AK367, 2)</f>
        <v>0</v>
      </c>
      <c r="U295">
        <f>SmtRes!X367</f>
        <v>-1356276541</v>
      </c>
      <c r="V295">
        <v>442495294</v>
      </c>
      <c r="W295">
        <v>442495294</v>
      </c>
      <c r="X295">
        <v>3</v>
      </c>
    </row>
    <row r="296" spans="1:24" x14ac:dyDescent="0.2">
      <c r="A296">
        <v>20</v>
      </c>
      <c r="B296">
        <v>366</v>
      </c>
      <c r="C296">
        <v>2</v>
      </c>
      <c r="D296">
        <v>0</v>
      </c>
      <c r="E296">
        <f>SmtRes!AV366</f>
        <v>0</v>
      </c>
      <c r="F296" t="str">
        <f>SmtRes!I366</f>
        <v>22.1-4-31</v>
      </c>
      <c r="G296" t="str">
        <f>SmtRes!K366</f>
        <v>Лебедки электрические, грузоподъемность до 1,5 т</v>
      </c>
      <c r="H296" t="str">
        <f>SmtRes!O366</f>
        <v>маш.-ч</v>
      </c>
      <c r="I296">
        <f>SmtRes!Y366*Source!I752</f>
        <v>9.5</v>
      </c>
      <c r="J296">
        <f>SmtRes!AO366</f>
        <v>1</v>
      </c>
      <c r="K296">
        <f>SmtRes!AF366</f>
        <v>31</v>
      </c>
      <c r="L296">
        <f>SmtRes!DB366</f>
        <v>589</v>
      </c>
      <c r="M296">
        <f>ROUND(ROUND(L296*Source!I752, 6)*1, 2)</f>
        <v>294.5</v>
      </c>
      <c r="N296">
        <f>SmtRes!AB366</f>
        <v>31</v>
      </c>
      <c r="O296">
        <f>ROUND(ROUND(L296*Source!I752, 6)*SmtRes!DA366, 2)</f>
        <v>294.5</v>
      </c>
      <c r="P296">
        <f>SmtRes!AG366</f>
        <v>1.35</v>
      </c>
      <c r="Q296">
        <f>SmtRes!DC366</f>
        <v>25.65</v>
      </c>
      <c r="R296">
        <f>ROUND(ROUND(Q296*Source!I752, 6)*1, 2)</f>
        <v>12.83</v>
      </c>
      <c r="S296">
        <f>SmtRes!AC366</f>
        <v>1.35</v>
      </c>
      <c r="T296">
        <f>ROUND(ROUND(Q296*Source!I752, 6)*SmtRes!AK366, 2)</f>
        <v>12.83</v>
      </c>
      <c r="U296">
        <f>SmtRes!X366</f>
        <v>-204835879</v>
      </c>
      <c r="V296">
        <v>1844315211</v>
      </c>
      <c r="W296">
        <v>1844315211</v>
      </c>
      <c r="X296">
        <v>2</v>
      </c>
    </row>
    <row r="297" spans="1:24" x14ac:dyDescent="0.2">
      <c r="A297">
        <f>Source!A753</f>
        <v>18</v>
      </c>
      <c r="B297">
        <v>753</v>
      </c>
      <c r="C297">
        <v>3</v>
      </c>
      <c r="D297">
        <f>Source!BI753</f>
        <v>4</v>
      </c>
      <c r="E297">
        <f>Source!FS753</f>
        <v>0</v>
      </c>
      <c r="F297" t="str">
        <f>Source!F753</f>
        <v>Цена поставщика</v>
      </c>
      <c r="G297" t="str">
        <f>Source!G753</f>
        <v>Контейнерная площадка на 4 контейнера (с дверьми)</v>
      </c>
      <c r="H297" t="str">
        <f>Source!H753</f>
        <v>шт.</v>
      </c>
      <c r="I297">
        <f>Source!I753</f>
        <v>0.449208</v>
      </c>
      <c r="J297">
        <v>1</v>
      </c>
      <c r="K297">
        <f>Source!AC753</f>
        <v>42340.83</v>
      </c>
      <c r="M297">
        <f>ROUND(K297*I297, 2)</f>
        <v>19019.84</v>
      </c>
      <c r="N297">
        <f>Source!AC753*IF(Source!BC753&lt;&gt; 0, Source!BC753, 1)</f>
        <v>42340.83</v>
      </c>
      <c r="O297">
        <f>ROUND(N297*I297, 2)</f>
        <v>19019.84</v>
      </c>
      <c r="P297">
        <f>Source!AE753</f>
        <v>0</v>
      </c>
      <c r="R297">
        <f>ROUND(P297*I297, 2)</f>
        <v>0</v>
      </c>
      <c r="S297">
        <f>Source!AE753*IF(Source!BS753&lt;&gt; 0, Source!BS753, 1)</f>
        <v>0</v>
      </c>
      <c r="T297">
        <f>ROUND(S297*I297, 2)</f>
        <v>0</v>
      </c>
      <c r="U297">
        <f>Source!GF753</f>
        <v>1653822074</v>
      </c>
      <c r="V297">
        <v>-739249535</v>
      </c>
      <c r="W297">
        <v>-739249535</v>
      </c>
      <c r="X297">
        <v>3</v>
      </c>
    </row>
    <row r="298" spans="1:24" x14ac:dyDescent="0.2">
      <c r="A298">
        <f>Source!A815</f>
        <v>4</v>
      </c>
      <c r="B298">
        <v>815</v>
      </c>
      <c r="G298" t="str">
        <f>Source!G815</f>
        <v>Асфальт и борткамень</v>
      </c>
    </row>
    <row r="299" spans="1:24" x14ac:dyDescent="0.2">
      <c r="A299">
        <f>Source!A819</f>
        <v>5</v>
      </c>
      <c r="B299">
        <v>819</v>
      </c>
      <c r="G299" t="str">
        <f>Source!G819</f>
        <v>Спорт площадки</v>
      </c>
    </row>
    <row r="300" spans="1:24" x14ac:dyDescent="0.2">
      <c r="A300">
        <v>20</v>
      </c>
      <c r="B300">
        <v>381</v>
      </c>
      <c r="C300">
        <v>3</v>
      </c>
      <c r="D300">
        <v>0</v>
      </c>
      <c r="E300">
        <f>SmtRes!AV381</f>
        <v>0</v>
      </c>
      <c r="F300" t="str">
        <f>SmtRes!I381</f>
        <v>21.1-6-101</v>
      </c>
      <c r="G300" t="str">
        <f>SmtRes!K381</f>
        <v>Пигменты сухие для красок, кислотный желтый</v>
      </c>
      <c r="H300" t="str">
        <f>SmtRes!O381</f>
        <v>т</v>
      </c>
      <c r="I300">
        <f>SmtRes!Y381*Source!I824</f>
        <v>0.1827</v>
      </c>
      <c r="J300">
        <f>SmtRes!AO381</f>
        <v>1</v>
      </c>
      <c r="K300">
        <f>SmtRes!AE381</f>
        <v>748299.67</v>
      </c>
      <c r="L300">
        <f>SmtRes!DB381</f>
        <v>39285.730000000003</v>
      </c>
      <c r="M300">
        <f>ROUND(ROUND(L300*Source!I824, 6)*1, 2)</f>
        <v>136714.34</v>
      </c>
      <c r="N300">
        <f>SmtRes!AA381</f>
        <v>748299.67</v>
      </c>
      <c r="O300">
        <f>ROUND(ROUND(L300*Source!I824, 6)*SmtRes!DA381, 2)</f>
        <v>136714.34</v>
      </c>
      <c r="P300">
        <f>SmtRes!AG381</f>
        <v>0</v>
      </c>
      <c r="Q300">
        <f>SmtRes!DC381</f>
        <v>0</v>
      </c>
      <c r="R300">
        <f>ROUND(ROUND(Q300*Source!I824, 6)*1, 2)</f>
        <v>0</v>
      </c>
      <c r="S300">
        <f>SmtRes!AC381</f>
        <v>0</v>
      </c>
      <c r="T300">
        <f>ROUND(ROUND(Q300*Source!I824, 6)*SmtRes!AK381, 2)</f>
        <v>0</v>
      </c>
      <c r="U300">
        <f>SmtRes!X381</f>
        <v>-629368275</v>
      </c>
      <c r="V300">
        <v>-308535249</v>
      </c>
      <c r="W300">
        <v>-308535249</v>
      </c>
      <c r="X300">
        <v>3</v>
      </c>
    </row>
    <row r="301" spans="1:24" x14ac:dyDescent="0.2">
      <c r="A301">
        <v>20</v>
      </c>
      <c r="B301">
        <v>380</v>
      </c>
      <c r="C301">
        <v>3</v>
      </c>
      <c r="D301">
        <v>0</v>
      </c>
      <c r="E301">
        <f>SmtRes!AV380</f>
        <v>0</v>
      </c>
      <c r="F301" t="str">
        <f>SmtRes!I380</f>
        <v>21.1-25-776</v>
      </c>
      <c r="G301" t="str">
        <f>SmtRes!K380</f>
        <v>Средство связующее универсальное полиуретановое на основе резиновой и каучуковой крошки для устройства высокопрочных эластичных покрытий</v>
      </c>
      <c r="H301" t="str">
        <f>SmtRes!O380</f>
        <v>кг</v>
      </c>
      <c r="I301">
        <f>SmtRes!Y380*Source!I824</f>
        <v>840.42</v>
      </c>
      <c r="J301">
        <f>SmtRes!AO380</f>
        <v>1</v>
      </c>
      <c r="K301">
        <f>SmtRes!AE380</f>
        <v>202.34</v>
      </c>
      <c r="L301">
        <f>SmtRes!DB380</f>
        <v>48865.11</v>
      </c>
      <c r="M301">
        <f>ROUND(ROUND(L301*Source!I824, 6)*1, 2)</f>
        <v>170050.58</v>
      </c>
      <c r="N301">
        <f>SmtRes!AA380</f>
        <v>202.34</v>
      </c>
      <c r="O301">
        <f>ROUND(ROUND(L301*Source!I824, 6)*SmtRes!DA380, 2)</f>
        <v>170050.58</v>
      </c>
      <c r="P301">
        <f>SmtRes!AG380</f>
        <v>0</v>
      </c>
      <c r="Q301">
        <f>SmtRes!DC380</f>
        <v>0</v>
      </c>
      <c r="R301">
        <f>ROUND(ROUND(Q301*Source!I824, 6)*1, 2)</f>
        <v>0</v>
      </c>
      <c r="S301">
        <f>SmtRes!AC380</f>
        <v>0</v>
      </c>
      <c r="T301">
        <f>ROUND(ROUND(Q301*Source!I824, 6)*SmtRes!AK380, 2)</f>
        <v>0</v>
      </c>
      <c r="U301">
        <f>SmtRes!X380</f>
        <v>1434584530</v>
      </c>
      <c r="V301">
        <v>2130616076</v>
      </c>
      <c r="W301">
        <v>2130616076</v>
      </c>
      <c r="X301">
        <v>3</v>
      </c>
    </row>
    <row r="302" spans="1:24" x14ac:dyDescent="0.2">
      <c r="A302">
        <v>20</v>
      </c>
      <c r="B302">
        <v>379</v>
      </c>
      <c r="C302">
        <v>3</v>
      </c>
      <c r="D302">
        <v>0</v>
      </c>
      <c r="E302">
        <f>SmtRes!AV379</f>
        <v>0</v>
      </c>
      <c r="F302" t="str">
        <f>SmtRes!I379</f>
        <v>21.1-25-769</v>
      </c>
      <c r="G302" t="str">
        <f>SmtRes!K379</f>
        <v>Крошка резиновая гранулированная, фракция 2-3 мм</v>
      </c>
      <c r="H302" t="str">
        <f>SmtRes!O379</f>
        <v>кг</v>
      </c>
      <c r="I302">
        <f>SmtRes!Y379*Source!I824</f>
        <v>2557.8000000000002</v>
      </c>
      <c r="J302">
        <f>SmtRes!AO379</f>
        <v>1</v>
      </c>
      <c r="K302">
        <f>SmtRes!AE379</f>
        <v>17.77</v>
      </c>
      <c r="L302">
        <f>SmtRes!DB379</f>
        <v>13060.95</v>
      </c>
      <c r="M302">
        <f>ROUND(ROUND(L302*Source!I824, 6)*1, 2)</f>
        <v>45452.11</v>
      </c>
      <c r="N302">
        <f>SmtRes!AA379</f>
        <v>17.77</v>
      </c>
      <c r="O302">
        <f>ROUND(ROUND(L302*Source!I824, 6)*SmtRes!DA379, 2)</f>
        <v>45452.11</v>
      </c>
      <c r="P302">
        <f>SmtRes!AG379</f>
        <v>0</v>
      </c>
      <c r="Q302">
        <f>SmtRes!DC379</f>
        <v>0</v>
      </c>
      <c r="R302">
        <f>ROUND(ROUND(Q302*Source!I824, 6)*1, 2)</f>
        <v>0</v>
      </c>
      <c r="S302">
        <f>SmtRes!AC379</f>
        <v>0</v>
      </c>
      <c r="T302">
        <f>ROUND(ROUND(Q302*Source!I824, 6)*SmtRes!AK379, 2)</f>
        <v>0</v>
      </c>
      <c r="U302">
        <f>SmtRes!X379</f>
        <v>-78256104</v>
      </c>
      <c r="V302">
        <v>-735317913</v>
      </c>
      <c r="W302">
        <v>-735317913</v>
      </c>
      <c r="X302">
        <v>3</v>
      </c>
    </row>
    <row r="303" spans="1:24" x14ac:dyDescent="0.2">
      <c r="A303">
        <v>20</v>
      </c>
      <c r="B303">
        <v>378</v>
      </c>
      <c r="C303">
        <v>3</v>
      </c>
      <c r="D303">
        <v>0</v>
      </c>
      <c r="E303">
        <f>SmtRes!AV378</f>
        <v>0</v>
      </c>
      <c r="F303" t="str">
        <f>SmtRes!I378</f>
        <v>21.1-25-343</v>
      </c>
      <c r="G303" t="str">
        <f>SmtRes!K378</f>
        <v>Скипидар живичный</v>
      </c>
      <c r="H303" t="str">
        <f>SmtRes!O378</f>
        <v>т</v>
      </c>
      <c r="I303">
        <f>SmtRes!Y378*Source!I824</f>
        <v>1.0962E-2</v>
      </c>
      <c r="J303">
        <f>SmtRes!AO378</f>
        <v>1</v>
      </c>
      <c r="K303">
        <f>SmtRes!AE378</f>
        <v>343020.03</v>
      </c>
      <c r="L303">
        <f>SmtRes!DB378</f>
        <v>1080.51</v>
      </c>
      <c r="M303">
        <f>ROUND(ROUND(L303*Source!I824, 6)*1, 2)</f>
        <v>3760.17</v>
      </c>
      <c r="N303">
        <f>SmtRes!AA378</f>
        <v>343020.03</v>
      </c>
      <c r="O303">
        <f>ROUND(ROUND(L303*Source!I824, 6)*SmtRes!DA378, 2)</f>
        <v>3760.17</v>
      </c>
      <c r="P303">
        <f>SmtRes!AG378</f>
        <v>0</v>
      </c>
      <c r="Q303">
        <f>SmtRes!DC378</f>
        <v>0</v>
      </c>
      <c r="R303">
        <f>ROUND(ROUND(Q303*Source!I824, 6)*1, 2)</f>
        <v>0</v>
      </c>
      <c r="S303">
        <f>SmtRes!AC378</f>
        <v>0</v>
      </c>
      <c r="T303">
        <f>ROUND(ROUND(Q303*Source!I824, 6)*SmtRes!AK378, 2)</f>
        <v>0</v>
      </c>
      <c r="U303">
        <f>SmtRes!X378</f>
        <v>2135985724</v>
      </c>
      <c r="V303">
        <v>-588394673</v>
      </c>
      <c r="W303">
        <v>-588394673</v>
      </c>
      <c r="X303">
        <v>3</v>
      </c>
    </row>
    <row r="304" spans="1:24" x14ac:dyDescent="0.2">
      <c r="A304">
        <v>20</v>
      </c>
      <c r="B304">
        <v>377</v>
      </c>
      <c r="C304">
        <v>3</v>
      </c>
      <c r="D304">
        <v>0</v>
      </c>
      <c r="E304">
        <f>SmtRes!AV377</f>
        <v>0</v>
      </c>
      <c r="F304" t="str">
        <f>SmtRes!I377</f>
        <v>21.1-25-255</v>
      </c>
      <c r="G304" t="str">
        <f>SmtRes!K377</f>
        <v>Пленка полиэтиленовая, толщина 0,12 - 0,15 мм</v>
      </c>
      <c r="H304" t="str">
        <f>SmtRes!O377</f>
        <v>м2</v>
      </c>
      <c r="I304">
        <f>SmtRes!Y377*Source!I824</f>
        <v>19.488</v>
      </c>
      <c r="J304">
        <f>SmtRes!AO377</f>
        <v>1</v>
      </c>
      <c r="K304">
        <f>SmtRes!AE377</f>
        <v>12.02</v>
      </c>
      <c r="L304">
        <f>SmtRes!DB377</f>
        <v>67.31</v>
      </c>
      <c r="M304">
        <f>ROUND(ROUND(L304*Source!I824, 6)*1, 2)</f>
        <v>234.24</v>
      </c>
      <c r="N304">
        <f>SmtRes!AA377</f>
        <v>12.02</v>
      </c>
      <c r="O304">
        <f>ROUND(ROUND(L304*Source!I824, 6)*SmtRes!DA377, 2)</f>
        <v>234.24</v>
      </c>
      <c r="P304">
        <f>SmtRes!AG377</f>
        <v>0</v>
      </c>
      <c r="Q304">
        <f>SmtRes!DC377</f>
        <v>0</v>
      </c>
      <c r="R304">
        <f>ROUND(ROUND(Q304*Source!I824, 6)*1, 2)</f>
        <v>0</v>
      </c>
      <c r="S304">
        <f>SmtRes!AC377</f>
        <v>0</v>
      </c>
      <c r="T304">
        <f>ROUND(ROUND(Q304*Source!I824, 6)*SmtRes!AK377, 2)</f>
        <v>0</v>
      </c>
      <c r="U304">
        <f>SmtRes!X377</f>
        <v>-656702110</v>
      </c>
      <c r="V304">
        <v>657210226</v>
      </c>
      <c r="W304">
        <v>657210226</v>
      </c>
      <c r="X304">
        <v>3</v>
      </c>
    </row>
    <row r="305" spans="1:24" x14ac:dyDescent="0.2">
      <c r="A305">
        <v>20</v>
      </c>
      <c r="B305">
        <v>376</v>
      </c>
      <c r="C305">
        <v>2</v>
      </c>
      <c r="D305">
        <v>0</v>
      </c>
      <c r="E305">
        <f>SmtRes!AV376</f>
        <v>0</v>
      </c>
      <c r="F305" t="str">
        <f>SmtRes!I376</f>
        <v>22.1-6-68</v>
      </c>
      <c r="G305" t="str">
        <f>SmtRes!K376</f>
        <v>Растворосмесители стационарные, емкость до 250 л</v>
      </c>
      <c r="H305" t="str">
        <f>SmtRes!O376</f>
        <v>маш.-ч</v>
      </c>
      <c r="I305">
        <f>SmtRes!Y376*Source!I824</f>
        <v>9.1872000000000007</v>
      </c>
      <c r="J305">
        <f>SmtRes!AO376</f>
        <v>1</v>
      </c>
      <c r="K305">
        <f>SmtRes!AF376</f>
        <v>454.31</v>
      </c>
      <c r="L305">
        <f>SmtRes!DB376</f>
        <v>1199.3800000000001</v>
      </c>
      <c r="M305">
        <f>ROUND(ROUND(L305*Source!I824, 6)*1, 2)</f>
        <v>4173.84</v>
      </c>
      <c r="N305">
        <f>SmtRes!AB376</f>
        <v>454.31</v>
      </c>
      <c r="O305">
        <f>ROUND(ROUND(L305*Source!I824, 6)*SmtRes!DA376, 2)</f>
        <v>4173.84</v>
      </c>
      <c r="P305">
        <f>SmtRes!AG376</f>
        <v>405.68</v>
      </c>
      <c r="Q305">
        <f>SmtRes!DC376</f>
        <v>1071</v>
      </c>
      <c r="R305">
        <f>ROUND(ROUND(Q305*Source!I824, 6)*1, 2)</f>
        <v>3727.08</v>
      </c>
      <c r="S305">
        <f>SmtRes!AC376</f>
        <v>405.68</v>
      </c>
      <c r="T305">
        <f>ROUND(ROUND(Q305*Source!I824, 6)*SmtRes!AK376, 2)</f>
        <v>3727.08</v>
      </c>
      <c r="U305">
        <f>SmtRes!X376</f>
        <v>1948933241</v>
      </c>
      <c r="V305">
        <v>4389697</v>
      </c>
      <c r="W305">
        <v>4389697</v>
      </c>
      <c r="X305">
        <v>2</v>
      </c>
    </row>
    <row r="306" spans="1:24" x14ac:dyDescent="0.2">
      <c r="A306">
        <v>20</v>
      </c>
      <c r="B306">
        <v>375</v>
      </c>
      <c r="C306">
        <v>2</v>
      </c>
      <c r="D306">
        <v>0</v>
      </c>
      <c r="E306">
        <f>SmtRes!AV375</f>
        <v>0</v>
      </c>
      <c r="F306" t="str">
        <f>SmtRes!I375</f>
        <v>22.1-4-8</v>
      </c>
      <c r="G306" t="str">
        <f>SmtRes!K375</f>
        <v>Погрузчики на автомобильном ходу, грузоподъемность до 1 т</v>
      </c>
      <c r="H306" t="str">
        <f>SmtRes!O375</f>
        <v>маш.-ч</v>
      </c>
      <c r="I306">
        <f>SmtRes!Y375*Source!I824</f>
        <v>3.4799999999999998E-2</v>
      </c>
      <c r="J306">
        <f>SmtRes!AO375</f>
        <v>1</v>
      </c>
      <c r="K306">
        <f>SmtRes!AF375</f>
        <v>616.73</v>
      </c>
      <c r="L306">
        <f>SmtRes!DB375</f>
        <v>6.17</v>
      </c>
      <c r="M306">
        <f>ROUND(ROUND(L306*Source!I824, 6)*1, 2)</f>
        <v>21.47</v>
      </c>
      <c r="N306">
        <f>SmtRes!AB375</f>
        <v>616.73</v>
      </c>
      <c r="O306">
        <f>ROUND(ROUND(L306*Source!I824, 6)*SmtRes!DA375, 2)</f>
        <v>21.47</v>
      </c>
      <c r="P306">
        <f>SmtRes!AG375</f>
        <v>511.29</v>
      </c>
      <c r="Q306">
        <f>SmtRes!DC375</f>
        <v>5.1100000000000003</v>
      </c>
      <c r="R306">
        <f>ROUND(ROUND(Q306*Source!I824, 6)*1, 2)</f>
        <v>17.78</v>
      </c>
      <c r="S306">
        <f>SmtRes!AC375</f>
        <v>511.29</v>
      </c>
      <c r="T306">
        <f>ROUND(ROUND(Q306*Source!I824, 6)*SmtRes!AK375, 2)</f>
        <v>17.78</v>
      </c>
      <c r="U306">
        <f>SmtRes!X375</f>
        <v>-929482187</v>
      </c>
      <c r="V306">
        <v>-878210744</v>
      </c>
      <c r="W306">
        <v>-878210744</v>
      </c>
      <c r="X306">
        <v>2</v>
      </c>
    </row>
    <row r="307" spans="1:24" x14ac:dyDescent="0.2">
      <c r="A307">
        <v>20</v>
      </c>
      <c r="B307">
        <v>374</v>
      </c>
      <c r="C307">
        <v>2</v>
      </c>
      <c r="D307">
        <v>0</v>
      </c>
      <c r="E307">
        <f>SmtRes!AV374</f>
        <v>0</v>
      </c>
      <c r="F307" t="str">
        <f>SmtRes!I374</f>
        <v>22.1-30-102</v>
      </c>
      <c r="G307" t="str">
        <f>SmtRes!K374</f>
        <v>Дрели электрические, двухскоростные, мощностью 600 Вт</v>
      </c>
      <c r="H307" t="str">
        <f>SmtRes!O374</f>
        <v>маш.-ч</v>
      </c>
      <c r="I307">
        <f>SmtRes!Y374*Source!I824</f>
        <v>4.1063999999999998</v>
      </c>
      <c r="J307">
        <f>SmtRes!AO374</f>
        <v>1</v>
      </c>
      <c r="K307">
        <f>SmtRes!AF374</f>
        <v>7.44</v>
      </c>
      <c r="L307">
        <f>SmtRes!DB374</f>
        <v>8.7799999999999994</v>
      </c>
      <c r="M307">
        <f>ROUND(ROUND(L307*Source!I824, 6)*1, 2)</f>
        <v>30.55</v>
      </c>
      <c r="N307">
        <f>SmtRes!AB374</f>
        <v>7.44</v>
      </c>
      <c r="O307">
        <f>ROUND(ROUND(L307*Source!I824, 6)*SmtRes!DA374, 2)</f>
        <v>30.55</v>
      </c>
      <c r="P307">
        <f>SmtRes!AG374</f>
        <v>0.98</v>
      </c>
      <c r="Q307">
        <f>SmtRes!DC374</f>
        <v>1.1599999999999999</v>
      </c>
      <c r="R307">
        <f>ROUND(ROUND(Q307*Source!I824, 6)*1, 2)</f>
        <v>4.04</v>
      </c>
      <c r="S307">
        <f>SmtRes!AC374</f>
        <v>0.98</v>
      </c>
      <c r="T307">
        <f>ROUND(ROUND(Q307*Source!I824, 6)*SmtRes!AK374, 2)</f>
        <v>4.04</v>
      </c>
      <c r="U307">
        <f>SmtRes!X374</f>
        <v>-1222982568</v>
      </c>
      <c r="V307">
        <v>-2110789947</v>
      </c>
      <c r="W307">
        <v>-2110789947</v>
      </c>
      <c r="X307">
        <v>2</v>
      </c>
    </row>
    <row r="308" spans="1:24" x14ac:dyDescent="0.2">
      <c r="A308">
        <v>20</v>
      </c>
      <c r="B308">
        <v>373</v>
      </c>
      <c r="C308">
        <v>2</v>
      </c>
      <c r="D308">
        <v>0</v>
      </c>
      <c r="E308">
        <f>SmtRes!AV373</f>
        <v>0</v>
      </c>
      <c r="F308" t="str">
        <f>SmtRes!I373</f>
        <v>22.1-17-168</v>
      </c>
      <c r="G308" t="str">
        <f>SmtRes!K373</f>
        <v>Укладчики полимерных покрытий на игровых и спортивных площадках, производительность 10-50 м2/ч</v>
      </c>
      <c r="H308" t="str">
        <f>SmtRes!O373</f>
        <v>маш.-ч</v>
      </c>
      <c r="I308">
        <f>SmtRes!Y373*Source!I824</f>
        <v>9.1872000000000007</v>
      </c>
      <c r="J308">
        <f>SmtRes!AO373</f>
        <v>1</v>
      </c>
      <c r="K308">
        <f>SmtRes!AF373</f>
        <v>531.41</v>
      </c>
      <c r="L308">
        <f>SmtRes!DB373</f>
        <v>1402.92</v>
      </c>
      <c r="M308">
        <f>ROUND(ROUND(L308*Source!I824, 6)*1, 2)</f>
        <v>4882.16</v>
      </c>
      <c r="N308">
        <f>SmtRes!AB373</f>
        <v>531.41</v>
      </c>
      <c r="O308">
        <f>ROUND(ROUND(L308*Source!I824, 6)*SmtRes!DA373, 2)</f>
        <v>4882.16</v>
      </c>
      <c r="P308">
        <f>SmtRes!AG373</f>
        <v>373.56</v>
      </c>
      <c r="Q308">
        <f>SmtRes!DC373</f>
        <v>986.2</v>
      </c>
      <c r="R308">
        <f>ROUND(ROUND(Q308*Source!I824, 6)*1, 2)</f>
        <v>3431.98</v>
      </c>
      <c r="S308">
        <f>SmtRes!AC373</f>
        <v>373.56</v>
      </c>
      <c r="T308">
        <f>ROUND(ROUND(Q308*Source!I824, 6)*SmtRes!AK373, 2)</f>
        <v>3431.98</v>
      </c>
      <c r="U308">
        <f>SmtRes!X373</f>
        <v>2028281919</v>
      </c>
      <c r="V308">
        <v>-1587432455</v>
      </c>
      <c r="W308">
        <v>-1587432455</v>
      </c>
      <c r="X308">
        <v>2</v>
      </c>
    </row>
    <row r="309" spans="1:24" x14ac:dyDescent="0.2">
      <c r="A309">
        <v>20</v>
      </c>
      <c r="B309">
        <v>386</v>
      </c>
      <c r="C309">
        <v>3</v>
      </c>
      <c r="D309">
        <v>0</v>
      </c>
      <c r="E309">
        <f>SmtRes!AV386</f>
        <v>0</v>
      </c>
      <c r="F309" t="str">
        <f>SmtRes!I386</f>
        <v>21.6-1-49</v>
      </c>
      <c r="G309" t="str">
        <f>SmtRes!K386</f>
        <v>Отдельные конструктивные элементы с преобладанием горячекатаных профилей, средняя масса сборочной единицы до 0,05 т</v>
      </c>
      <c r="H309" t="str">
        <f>SmtRes!O386</f>
        <v>т</v>
      </c>
      <c r="I309">
        <f>SmtRes!Y386*Source!I825</f>
        <v>0.1</v>
      </c>
      <c r="J309">
        <f>SmtRes!AO386</f>
        <v>1</v>
      </c>
      <c r="K309">
        <f>SmtRes!AE386</f>
        <v>79722.539999999994</v>
      </c>
      <c r="L309">
        <f>SmtRes!DB386</f>
        <v>79722.539999999994</v>
      </c>
      <c r="M309">
        <f>ROUND(ROUND(L309*Source!I825, 6)*1, 2)</f>
        <v>7972.25</v>
      </c>
      <c r="N309">
        <f>SmtRes!AA386</f>
        <v>79722.539999999994</v>
      </c>
      <c r="O309">
        <f>ROUND(ROUND(L309*Source!I825, 6)*SmtRes!DA386, 2)</f>
        <v>7972.25</v>
      </c>
      <c r="P309">
        <f>SmtRes!AG386</f>
        <v>0</v>
      </c>
      <c r="Q309">
        <f>SmtRes!DC386</f>
        <v>0</v>
      </c>
      <c r="R309">
        <f>ROUND(ROUND(Q309*Source!I825, 6)*1, 2)</f>
        <v>0</v>
      </c>
      <c r="S309">
        <f>SmtRes!AC386</f>
        <v>0</v>
      </c>
      <c r="T309">
        <f>ROUND(ROUND(Q309*Source!I825, 6)*SmtRes!AK386, 2)</f>
        <v>0</v>
      </c>
      <c r="U309">
        <f>SmtRes!X386</f>
        <v>-135154983</v>
      </c>
      <c r="V309">
        <v>1121548434</v>
      </c>
      <c r="W309">
        <v>1121548434</v>
      </c>
      <c r="X309">
        <v>3</v>
      </c>
    </row>
    <row r="310" spans="1:24" x14ac:dyDescent="0.2">
      <c r="A310">
        <v>20</v>
      </c>
      <c r="B310">
        <v>385</v>
      </c>
      <c r="C310">
        <v>3</v>
      </c>
      <c r="D310">
        <v>0</v>
      </c>
      <c r="E310">
        <f>SmtRes!AV385</f>
        <v>0</v>
      </c>
      <c r="F310" t="str">
        <f>SmtRes!I385</f>
        <v>21.1-23-9</v>
      </c>
      <c r="G310" t="str">
        <f>SmtRes!K385</f>
        <v>Электроды, тип Э-42, 46, 50, диаметр 4 - 6 мм</v>
      </c>
      <c r="H310" t="str">
        <f>SmtRes!O385</f>
        <v>т</v>
      </c>
      <c r="I310">
        <f>SmtRes!Y385*Source!I825</f>
        <v>2.0000000000000001E-4</v>
      </c>
      <c r="J310">
        <f>SmtRes!AO385</f>
        <v>1</v>
      </c>
      <c r="K310">
        <f>SmtRes!AE385</f>
        <v>110781.14</v>
      </c>
      <c r="L310">
        <f>SmtRes!DB385</f>
        <v>221.56</v>
      </c>
      <c r="M310">
        <f>ROUND(ROUND(L310*Source!I825, 6)*1, 2)</f>
        <v>22.16</v>
      </c>
      <c r="N310">
        <f>SmtRes!AA385</f>
        <v>110781.14</v>
      </c>
      <c r="O310">
        <f>ROUND(ROUND(L310*Source!I825, 6)*SmtRes!DA385, 2)</f>
        <v>22.16</v>
      </c>
      <c r="P310">
        <f>SmtRes!AG385</f>
        <v>0</v>
      </c>
      <c r="Q310">
        <f>SmtRes!DC385</f>
        <v>0</v>
      </c>
      <c r="R310">
        <f>ROUND(ROUND(Q310*Source!I825, 6)*1, 2)</f>
        <v>0</v>
      </c>
      <c r="S310">
        <f>SmtRes!AC385</f>
        <v>0</v>
      </c>
      <c r="T310">
        <f>ROUND(ROUND(Q310*Source!I825, 6)*SmtRes!AK385, 2)</f>
        <v>0</v>
      </c>
      <c r="U310">
        <f>SmtRes!X385</f>
        <v>-941081254</v>
      </c>
      <c r="V310">
        <v>1991017595</v>
      </c>
      <c r="W310">
        <v>1991017595</v>
      </c>
      <c r="X310">
        <v>3</v>
      </c>
    </row>
    <row r="311" spans="1:24" x14ac:dyDescent="0.2">
      <c r="A311">
        <v>20</v>
      </c>
      <c r="B311">
        <v>384</v>
      </c>
      <c r="C311">
        <v>3</v>
      </c>
      <c r="D311">
        <v>0</v>
      </c>
      <c r="E311">
        <f>SmtRes!AV384</f>
        <v>0</v>
      </c>
      <c r="F311" t="str">
        <f>SmtRes!I384</f>
        <v>21.1-11-21</v>
      </c>
      <c r="G311" t="str">
        <f>SmtRes!K384</f>
        <v>Болты строительные черные с гайками и шайбами (10х100мм)</v>
      </c>
      <c r="H311" t="str">
        <f>SmtRes!O384</f>
        <v>т</v>
      </c>
      <c r="I311">
        <f>SmtRes!Y384*Source!I825</f>
        <v>5.0000000000000001E-4</v>
      </c>
      <c r="J311">
        <f>SmtRes!AO384</f>
        <v>1</v>
      </c>
      <c r="K311">
        <f>SmtRes!AE384</f>
        <v>105084.63</v>
      </c>
      <c r="L311">
        <f>SmtRes!DB384</f>
        <v>525.41999999999996</v>
      </c>
      <c r="M311">
        <f>ROUND(ROUND(L311*Source!I825, 6)*1, 2)</f>
        <v>52.54</v>
      </c>
      <c r="N311">
        <f>SmtRes!AA384</f>
        <v>105084.63</v>
      </c>
      <c r="O311">
        <f>ROUND(ROUND(L311*Source!I825, 6)*SmtRes!DA384, 2)</f>
        <v>52.54</v>
      </c>
      <c r="P311">
        <f>SmtRes!AG384</f>
        <v>0</v>
      </c>
      <c r="Q311">
        <f>SmtRes!DC384</f>
        <v>0</v>
      </c>
      <c r="R311">
        <f>ROUND(ROUND(Q311*Source!I825, 6)*1, 2)</f>
        <v>0</v>
      </c>
      <c r="S311">
        <f>SmtRes!AC384</f>
        <v>0</v>
      </c>
      <c r="T311">
        <f>ROUND(ROUND(Q311*Source!I825, 6)*SmtRes!AK384, 2)</f>
        <v>0</v>
      </c>
      <c r="U311">
        <f>SmtRes!X384</f>
        <v>-1356276541</v>
      </c>
      <c r="V311">
        <v>442495294</v>
      </c>
      <c r="W311">
        <v>442495294</v>
      </c>
      <c r="X311">
        <v>3</v>
      </c>
    </row>
    <row r="312" spans="1:24" x14ac:dyDescent="0.2">
      <c r="A312">
        <v>20</v>
      </c>
      <c r="B312">
        <v>383</v>
      </c>
      <c r="C312">
        <v>2</v>
      </c>
      <c r="D312">
        <v>0</v>
      </c>
      <c r="E312">
        <f>SmtRes!AV383</f>
        <v>0</v>
      </c>
      <c r="F312" t="str">
        <f>SmtRes!I383</f>
        <v>22.1-4-31</v>
      </c>
      <c r="G312" t="str">
        <f>SmtRes!K383</f>
        <v>Лебедки электрические, грузоподъемность до 1,5 т</v>
      </c>
      <c r="H312" t="str">
        <f>SmtRes!O383</f>
        <v>маш.-ч</v>
      </c>
      <c r="I312">
        <f>SmtRes!Y383*Source!I825</f>
        <v>2.4000000000000004</v>
      </c>
      <c r="J312">
        <f>SmtRes!AO383</f>
        <v>1</v>
      </c>
      <c r="K312">
        <f>SmtRes!AF383</f>
        <v>31</v>
      </c>
      <c r="L312">
        <f>SmtRes!DB383</f>
        <v>744</v>
      </c>
      <c r="M312">
        <f>ROUND(ROUND(L312*Source!I825, 6)*1, 2)</f>
        <v>74.400000000000006</v>
      </c>
      <c r="N312">
        <f>SmtRes!AB383</f>
        <v>31</v>
      </c>
      <c r="O312">
        <f>ROUND(ROUND(L312*Source!I825, 6)*SmtRes!DA383, 2)</f>
        <v>74.400000000000006</v>
      </c>
      <c r="P312">
        <f>SmtRes!AG383</f>
        <v>1.35</v>
      </c>
      <c r="Q312">
        <f>SmtRes!DC383</f>
        <v>32.4</v>
      </c>
      <c r="R312">
        <f>ROUND(ROUND(Q312*Source!I825, 6)*1, 2)</f>
        <v>3.24</v>
      </c>
      <c r="S312">
        <f>SmtRes!AC383</f>
        <v>1.35</v>
      </c>
      <c r="T312">
        <f>ROUND(ROUND(Q312*Source!I825, 6)*SmtRes!AK383, 2)</f>
        <v>3.24</v>
      </c>
      <c r="U312">
        <f>SmtRes!X383</f>
        <v>-204835879</v>
      </c>
      <c r="V312">
        <v>1844315211</v>
      </c>
      <c r="W312">
        <v>1844315211</v>
      </c>
      <c r="X312">
        <v>2</v>
      </c>
    </row>
    <row r="313" spans="1:24" x14ac:dyDescent="0.2">
      <c r="A313">
        <f>Source!A826</f>
        <v>18</v>
      </c>
      <c r="B313">
        <v>826</v>
      </c>
      <c r="C313">
        <v>3</v>
      </c>
      <c r="D313">
        <f>Source!BI826</f>
        <v>4</v>
      </c>
      <c r="E313">
        <f>Source!FS826</f>
        <v>0</v>
      </c>
      <c r="F313" t="str">
        <f>Source!F826</f>
        <v>Цена поставщика</v>
      </c>
      <c r="G313" t="str">
        <f>Source!G826</f>
        <v>Баскетбольный щит МАФ 3510</v>
      </c>
      <c r="H313" t="str">
        <f>Source!H826</f>
        <v>шт.</v>
      </c>
      <c r="I313">
        <f>Source!I826</f>
        <v>2</v>
      </c>
      <c r="J313">
        <v>1</v>
      </c>
      <c r="K313">
        <f>Source!AC826</f>
        <v>10625</v>
      </c>
      <c r="M313">
        <f>ROUND(K313*I313, 2)</f>
        <v>21250</v>
      </c>
      <c r="N313">
        <f>Source!AC826*IF(Source!BC826&lt;&gt; 0, Source!BC826, 1)</f>
        <v>10625</v>
      </c>
      <c r="O313">
        <f>ROUND(N313*I313, 2)</f>
        <v>21250</v>
      </c>
      <c r="P313">
        <f>Source!AE826</f>
        <v>0</v>
      </c>
      <c r="R313">
        <f>ROUND(P313*I313, 2)</f>
        <v>0</v>
      </c>
      <c r="S313">
        <f>Source!AE826*IF(Source!BS826&lt;&gt; 0, Source!BS826, 1)</f>
        <v>0</v>
      </c>
      <c r="T313">
        <f>ROUND(S313*I313, 2)</f>
        <v>0</v>
      </c>
      <c r="U313">
        <f>Source!GF826</f>
        <v>941243767</v>
      </c>
      <c r="V313">
        <v>1358889698</v>
      </c>
      <c r="W313">
        <v>1358889698</v>
      </c>
      <c r="X313">
        <v>3</v>
      </c>
    </row>
    <row r="314" spans="1:24" x14ac:dyDescent="0.2">
      <c r="A314">
        <f>Source!A888</f>
        <v>4</v>
      </c>
      <c r="B314">
        <v>888</v>
      </c>
      <c r="G314" t="str">
        <f>Source!G888</f>
        <v>Мусор</v>
      </c>
    </row>
    <row r="315" spans="1:24" x14ac:dyDescent="0.2">
      <c r="A315">
        <v>20</v>
      </c>
      <c r="B315">
        <v>388</v>
      </c>
      <c r="C315">
        <v>2</v>
      </c>
      <c r="D315">
        <v>0</v>
      </c>
      <c r="E315">
        <f>SmtRes!AV388</f>
        <v>0</v>
      </c>
      <c r="F315" t="str">
        <f>SmtRes!I388</f>
        <v>22.1-1-5</v>
      </c>
      <c r="G315" t="str">
        <f>SmtRes!K388</f>
        <v>Экскаваторы на гусеничном ходу гидравлические, объем ковша до 0,65 м3</v>
      </c>
      <c r="H315" t="str">
        <f>SmtRes!O388</f>
        <v>маш.-ч</v>
      </c>
      <c r="I315">
        <f>SmtRes!Y388*Source!I892</f>
        <v>9.3250049999999991</v>
      </c>
      <c r="J315">
        <f>SmtRes!AO388</f>
        <v>1</v>
      </c>
      <c r="K315">
        <f>SmtRes!AF388</f>
        <v>1494.43</v>
      </c>
      <c r="L315">
        <f>SmtRes!DB388</f>
        <v>80.25</v>
      </c>
      <c r="M315">
        <f>ROUND(ROUND(L315*Source!I892, 6)*1, 2)</f>
        <v>13935.41</v>
      </c>
      <c r="N315">
        <f>SmtRes!AB388</f>
        <v>1494.43</v>
      </c>
      <c r="O315">
        <f>ROUND(ROUND(L315*Source!I892, 6)*SmtRes!DA388, 2)</f>
        <v>13935.41</v>
      </c>
      <c r="P315">
        <f>SmtRes!AG388</f>
        <v>481.21</v>
      </c>
      <c r="Q315">
        <f>SmtRes!DC388</f>
        <v>25.84</v>
      </c>
      <c r="R315">
        <f>ROUND(ROUND(Q315*Source!I892, 6)*1, 2)</f>
        <v>4487.12</v>
      </c>
      <c r="S315">
        <f>SmtRes!AC388</f>
        <v>481.21</v>
      </c>
      <c r="T315">
        <f>ROUND(ROUND(Q315*Source!I892, 6)*SmtRes!AK388, 2)</f>
        <v>4487.12</v>
      </c>
      <c r="U315">
        <f>SmtRes!X388</f>
        <v>770341722</v>
      </c>
      <c r="V315">
        <v>-2015274479</v>
      </c>
      <c r="W315">
        <v>-2015274479</v>
      </c>
      <c r="X315">
        <v>2</v>
      </c>
    </row>
    <row r="316" spans="1:24" x14ac:dyDescent="0.2">
      <c r="A316">
        <v>20</v>
      </c>
      <c r="B316">
        <v>390</v>
      </c>
      <c r="C316">
        <v>2</v>
      </c>
      <c r="D316">
        <v>0</v>
      </c>
      <c r="E316">
        <f>SmtRes!AV390</f>
        <v>0</v>
      </c>
      <c r="F316" t="str">
        <f>SmtRes!I390</f>
        <v>22.1-18-13</v>
      </c>
      <c r="G316" t="str">
        <f>SmtRes!K390</f>
        <v>Автомобили-самосвалы, грузоподъемность до 10 т</v>
      </c>
      <c r="H316" t="str">
        <f>SmtRes!O390</f>
        <v>маш.-ч</v>
      </c>
      <c r="I316">
        <f>SmtRes!Y390*Source!I893</f>
        <v>3.1256999999999997</v>
      </c>
      <c r="J316">
        <f>SmtRes!AO390</f>
        <v>1</v>
      </c>
      <c r="K316">
        <f>SmtRes!AF390</f>
        <v>1014.12</v>
      </c>
      <c r="L316">
        <f>SmtRes!DB390</f>
        <v>18.25</v>
      </c>
      <c r="M316">
        <f>ROUND(ROUND(L316*Source!I893, 6)*1, 2)</f>
        <v>3169.11</v>
      </c>
      <c r="N316">
        <f>SmtRes!AB390</f>
        <v>1014.12</v>
      </c>
      <c r="O316">
        <f>ROUND(ROUND(L316*Source!I893, 6)*SmtRes!DA390, 2)</f>
        <v>3169.11</v>
      </c>
      <c r="P316">
        <f>SmtRes!AG390</f>
        <v>317.13</v>
      </c>
      <c r="Q316">
        <f>SmtRes!DC390</f>
        <v>5.71</v>
      </c>
      <c r="R316">
        <f>ROUND(ROUND(Q316*Source!I893, 6)*1, 2)</f>
        <v>991.54</v>
      </c>
      <c r="S316">
        <f>SmtRes!AC390</f>
        <v>317.13</v>
      </c>
      <c r="T316">
        <f>ROUND(ROUND(Q316*Source!I893, 6)*SmtRes!AK390, 2)</f>
        <v>991.54</v>
      </c>
      <c r="U316">
        <f>SmtRes!X390</f>
        <v>-1786200580</v>
      </c>
      <c r="V316">
        <v>-522295321</v>
      </c>
      <c r="W316">
        <v>-522295321</v>
      </c>
      <c r="X316">
        <v>2</v>
      </c>
    </row>
    <row r="317" spans="1:24" x14ac:dyDescent="0.2">
      <c r="A317">
        <v>20</v>
      </c>
      <c r="B317">
        <v>389</v>
      </c>
      <c r="C317">
        <v>2</v>
      </c>
      <c r="D317">
        <v>0</v>
      </c>
      <c r="E317">
        <f>SmtRes!AV389</f>
        <v>0</v>
      </c>
      <c r="F317" t="str">
        <f>SmtRes!I389</f>
        <v>22.1-18-12</v>
      </c>
      <c r="G317" t="str">
        <f>SmtRes!K389</f>
        <v>Автомобили-самосвалы, грузоподъемность до 7 т</v>
      </c>
      <c r="H317" t="str">
        <f>SmtRes!O389</f>
        <v>маш.-ч</v>
      </c>
      <c r="I317">
        <f>SmtRes!Y389*Source!I893</f>
        <v>3.4730000000000003</v>
      </c>
      <c r="J317">
        <f>SmtRes!AO389</f>
        <v>1</v>
      </c>
      <c r="K317">
        <f>SmtRes!AF389</f>
        <v>1009.4</v>
      </c>
      <c r="L317">
        <f>SmtRes!DB389</f>
        <v>20.190000000000001</v>
      </c>
      <c r="M317">
        <f>ROUND(ROUND(L317*Source!I893, 6)*1, 2)</f>
        <v>3505.99</v>
      </c>
      <c r="N317">
        <f>SmtRes!AB389</f>
        <v>1009.4</v>
      </c>
      <c r="O317">
        <f>ROUND(ROUND(L317*Source!I893, 6)*SmtRes!DA389, 2)</f>
        <v>3505.99</v>
      </c>
      <c r="P317">
        <f>SmtRes!AG389</f>
        <v>316.82</v>
      </c>
      <c r="Q317">
        <f>SmtRes!DC389</f>
        <v>6.34</v>
      </c>
      <c r="R317">
        <f>ROUND(ROUND(Q317*Source!I893, 6)*1, 2)</f>
        <v>1100.94</v>
      </c>
      <c r="S317">
        <f>SmtRes!AC389</f>
        <v>316.82</v>
      </c>
      <c r="T317">
        <f>ROUND(ROUND(Q317*Source!I893, 6)*SmtRes!AK389, 2)</f>
        <v>1100.94</v>
      </c>
      <c r="U317">
        <f>SmtRes!X389</f>
        <v>238809398</v>
      </c>
      <c r="V317">
        <v>723112940</v>
      </c>
      <c r="W317">
        <v>723112940</v>
      </c>
      <c r="X317">
        <v>2</v>
      </c>
    </row>
    <row r="318" spans="1:24" x14ac:dyDescent="0.2">
      <c r="A318">
        <v>20</v>
      </c>
      <c r="B318">
        <v>392</v>
      </c>
      <c r="C318">
        <v>2</v>
      </c>
      <c r="D318">
        <v>0</v>
      </c>
      <c r="E318">
        <f>SmtRes!AV392</f>
        <v>0</v>
      </c>
      <c r="F318" t="str">
        <f>SmtRes!I392</f>
        <v>22.1-18-13</v>
      </c>
      <c r="G318" t="str">
        <f>SmtRes!K392</f>
        <v>Автомобили-самосвалы, грузоподъемность до 10 т</v>
      </c>
      <c r="H318" t="str">
        <f>SmtRes!O392</f>
        <v>маш.-ч</v>
      </c>
      <c r="I318">
        <f>SmtRes!Y392*Source!I894</f>
        <v>38.897600000000004</v>
      </c>
      <c r="J318">
        <f>SmtRes!AO392</f>
        <v>1</v>
      </c>
      <c r="K318">
        <f>SmtRes!AF392</f>
        <v>1014.12</v>
      </c>
      <c r="L318">
        <f>SmtRes!DB392</f>
        <v>227.08</v>
      </c>
      <c r="M318">
        <f>ROUND(ROUND(L318*Source!I894, 6)*1, 2)</f>
        <v>39432.44</v>
      </c>
      <c r="N318">
        <f>SmtRes!AB392</f>
        <v>1014.12</v>
      </c>
      <c r="O318">
        <f>ROUND(ROUND(L318*Source!I894, 6)*SmtRes!DA392, 2)</f>
        <v>39432.44</v>
      </c>
      <c r="P318">
        <f>SmtRes!AG392</f>
        <v>317.13</v>
      </c>
      <c r="Q318">
        <f>SmtRes!DC392</f>
        <v>71.12</v>
      </c>
      <c r="R318">
        <f>ROUND(ROUND(Q318*Source!I894, 6)*1, 2)</f>
        <v>12349.99</v>
      </c>
      <c r="S318">
        <f>SmtRes!AC392</f>
        <v>317.13</v>
      </c>
      <c r="T318">
        <f>ROUND(ROUND(Q318*Source!I894, 6)*SmtRes!AK392, 2)</f>
        <v>12349.99</v>
      </c>
      <c r="U318">
        <f>SmtRes!X392</f>
        <v>-1786200580</v>
      </c>
      <c r="V318">
        <v>-522295321</v>
      </c>
      <c r="W318">
        <v>-522295321</v>
      </c>
      <c r="X318">
        <v>2</v>
      </c>
    </row>
    <row r="319" spans="1:24" x14ac:dyDescent="0.2">
      <c r="A319">
        <v>20</v>
      </c>
      <c r="B319">
        <v>391</v>
      </c>
      <c r="C319">
        <v>2</v>
      </c>
      <c r="D319">
        <v>0</v>
      </c>
      <c r="E319">
        <f>SmtRes!AV391</f>
        <v>0</v>
      </c>
      <c r="F319" t="str">
        <f>SmtRes!I391</f>
        <v>22.1-18-12</v>
      </c>
      <c r="G319" t="str">
        <f>SmtRes!K391</f>
        <v>Автомобили-самосвалы, грузоподъемность до 7 т</v>
      </c>
      <c r="H319" t="str">
        <f>SmtRes!O391</f>
        <v>маш.-ч</v>
      </c>
      <c r="I319">
        <f>SmtRes!Y391*Source!I894</f>
        <v>48.622000000000007</v>
      </c>
      <c r="J319">
        <f>SmtRes!AO391</f>
        <v>1</v>
      </c>
      <c r="K319">
        <f>SmtRes!AF391</f>
        <v>1009.4</v>
      </c>
      <c r="L319">
        <f>SmtRes!DB391</f>
        <v>282.52</v>
      </c>
      <c r="M319">
        <f>ROUND(ROUND(L319*Source!I894, 6)*1, 2)</f>
        <v>49059.6</v>
      </c>
      <c r="N319">
        <f>SmtRes!AB391</f>
        <v>1009.4</v>
      </c>
      <c r="O319">
        <f>ROUND(ROUND(L319*Source!I894, 6)*SmtRes!DA391, 2)</f>
        <v>49059.6</v>
      </c>
      <c r="P319">
        <f>SmtRes!AG391</f>
        <v>316.82</v>
      </c>
      <c r="Q319">
        <f>SmtRes!DC391</f>
        <v>88.76</v>
      </c>
      <c r="R319">
        <f>ROUND(ROUND(Q319*Source!I894, 6)*1, 2)</f>
        <v>15413.17</v>
      </c>
      <c r="S319">
        <f>SmtRes!AC391</f>
        <v>316.82</v>
      </c>
      <c r="T319">
        <f>ROUND(ROUND(Q319*Source!I894, 6)*SmtRes!AK391, 2)</f>
        <v>15413.17</v>
      </c>
      <c r="U319">
        <f>SmtRes!X391</f>
        <v>238809398</v>
      </c>
      <c r="V319">
        <v>723112940</v>
      </c>
      <c r="W319">
        <v>723112940</v>
      </c>
      <c r="X319">
        <v>2</v>
      </c>
    </row>
    <row r="320" spans="1:24" x14ac:dyDescent="0.2">
      <c r="A320">
        <v>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304"/>
  <sheetViews>
    <sheetView workbookViewId="0"/>
  </sheetViews>
  <sheetFormatPr defaultRowHeight="12.75" x14ac:dyDescent="0.2"/>
  <cols>
    <col min="1" max="1" width="12.7109375" customWidth="1"/>
    <col min="2" max="2" width="40.7109375" customWidth="1"/>
    <col min="3" max="6" width="12.7109375" customWidth="1"/>
    <col min="15" max="18" width="0" hidden="1" customWidth="1"/>
  </cols>
  <sheetData>
    <row r="2" spans="1:17" ht="16.5" x14ac:dyDescent="0.2">
      <c r="A2" s="76" t="s">
        <v>768</v>
      </c>
      <c r="B2" s="77"/>
      <c r="C2" s="77"/>
      <c r="D2" s="77"/>
      <c r="E2" s="77"/>
      <c r="F2" s="77"/>
    </row>
    <row r="3" spans="1:17" ht="16.5" x14ac:dyDescent="0.2">
      <c r="A3" s="76" t="str">
        <f>CONCATENATE("Объект: ",IF(Source!G956&lt;&gt;"Новый объект", Source!G956, ""))</f>
        <v>Объект: Выполнение работ по проведению ремонта прилегающей территории для нужд ГБОУ Школа № 630</v>
      </c>
      <c r="B3" s="77"/>
      <c r="C3" s="77"/>
      <c r="D3" s="77"/>
      <c r="E3" s="77"/>
      <c r="F3" s="77"/>
    </row>
    <row r="4" spans="1:17" x14ac:dyDescent="0.2">
      <c r="A4" s="63" t="s">
        <v>769</v>
      </c>
      <c r="B4" s="63" t="s">
        <v>770</v>
      </c>
      <c r="C4" s="63" t="s">
        <v>672</v>
      </c>
      <c r="D4" s="63" t="s">
        <v>771</v>
      </c>
      <c r="E4" s="79" t="s">
        <v>772</v>
      </c>
      <c r="F4" s="80"/>
    </row>
    <row r="5" spans="1:17" x14ac:dyDescent="0.2">
      <c r="A5" s="64"/>
      <c r="B5" s="64"/>
      <c r="C5" s="64"/>
      <c r="D5" s="64"/>
      <c r="E5" s="81"/>
      <c r="F5" s="82"/>
    </row>
    <row r="6" spans="1:17" ht="14.25" x14ac:dyDescent="0.2">
      <c r="A6" s="78"/>
      <c r="B6" s="78"/>
      <c r="C6" s="78"/>
      <c r="D6" s="78"/>
      <c r="E6" s="19" t="s">
        <v>773</v>
      </c>
      <c r="F6" s="19" t="s">
        <v>774</v>
      </c>
    </row>
    <row r="7" spans="1:17" ht="14.25" x14ac:dyDescent="0.2">
      <c r="A7" s="19">
        <v>1</v>
      </c>
      <c r="B7" s="19">
        <v>2</v>
      </c>
      <c r="C7" s="19">
        <v>3</v>
      </c>
      <c r="D7" s="19">
        <v>4</v>
      </c>
      <c r="E7" s="19">
        <v>5</v>
      </c>
      <c r="F7" s="19">
        <v>6</v>
      </c>
    </row>
    <row r="8" spans="1:17" ht="16.5" x14ac:dyDescent="0.2">
      <c r="A8" s="76" t="str">
        <f>CONCATENATE("Локальная смета: ",IF(Source!G22&lt;&gt;"Новая локальная смета", Source!G22, ""))</f>
        <v xml:space="preserve">Локальная смета: </v>
      </c>
      <c r="B8" s="77"/>
      <c r="C8" s="77"/>
      <c r="D8" s="77"/>
      <c r="E8" s="77"/>
      <c r="F8" s="77"/>
    </row>
    <row r="9" spans="1:17" ht="16.5" x14ac:dyDescent="0.2">
      <c r="A9" s="76" t="str">
        <f>CONCATENATE("Раздел: ",IF(Source!G26&lt;&gt;"Новый раздел", Source!G26, ""))</f>
        <v>Раздел: Веранды</v>
      </c>
      <c r="B9" s="77"/>
      <c r="C9" s="77"/>
      <c r="D9" s="77"/>
      <c r="E9" s="77"/>
      <c r="F9" s="77"/>
    </row>
    <row r="10" spans="1:17" ht="16.5" x14ac:dyDescent="0.2">
      <c r="A10" s="76" t="str">
        <f>CONCATENATE("Подраздел: ",IF(Source!G30&lt;&gt;"Новый подраздел", Source!G30, ""))</f>
        <v>Подраздел: Демонтажные работы</v>
      </c>
      <c r="B10" s="77"/>
      <c r="C10" s="77"/>
      <c r="D10" s="77"/>
      <c r="E10" s="77"/>
      <c r="F10" s="77"/>
    </row>
    <row r="11" spans="1:17" ht="14.25" x14ac:dyDescent="0.2">
      <c r="A11" s="83" t="s">
        <v>775</v>
      </c>
      <c r="B11" s="84"/>
      <c r="C11" s="84"/>
      <c r="D11" s="84"/>
      <c r="E11" s="84"/>
      <c r="F11" s="84"/>
    </row>
    <row r="12" spans="1:17" ht="28.5" x14ac:dyDescent="0.2">
      <c r="A12" s="49" t="s">
        <v>412</v>
      </c>
      <c r="B12" s="42" t="s">
        <v>414</v>
      </c>
      <c r="C12" s="42" t="s">
        <v>393</v>
      </c>
      <c r="D12" s="43">
        <f>ROUND(SUMIF(RV_DATA!V9:'RV_DATA'!V14, 158304140, RV_DATA!I9:'RV_DATA'!I14), 6)</f>
        <v>137.33279999999999</v>
      </c>
      <c r="E12" s="50">
        <f>ROUND(RV_DATA!K14, 6)</f>
        <v>744.2</v>
      </c>
      <c r="F12" s="50">
        <f>ROUND(SUMIF(RV_DATA!V9:'RV_DATA'!V14, 158304140, RV_DATA!M9:'RV_DATA'!M14), 6)</f>
        <v>102203</v>
      </c>
      <c r="Q12">
        <v>2</v>
      </c>
    </row>
    <row r="13" spans="1:17" ht="57" x14ac:dyDescent="0.2">
      <c r="A13" s="49" t="s">
        <v>390</v>
      </c>
      <c r="B13" s="42" t="s">
        <v>392</v>
      </c>
      <c r="C13" s="42" t="s">
        <v>393</v>
      </c>
      <c r="D13" s="43">
        <f>ROUND(SUMIF(RV_DATA!V9:'RV_DATA'!V14, 953863627, RV_DATA!I9:'RV_DATA'!I14), 6)</f>
        <v>4.7999999999999996E-3</v>
      </c>
      <c r="E13" s="50">
        <f>ROUND(RV_DATA!K12, 6)</f>
        <v>41.19</v>
      </c>
      <c r="F13" s="50">
        <f>ROUND(SUMIF(RV_DATA!V9:'RV_DATA'!V14, 953863627, RV_DATA!M9:'RV_DATA'!M14), 6)</f>
        <v>0.2</v>
      </c>
      <c r="Q13">
        <v>2</v>
      </c>
    </row>
    <row r="14" spans="1:17" ht="28.5" x14ac:dyDescent="0.2">
      <c r="A14" s="49" t="s">
        <v>394</v>
      </c>
      <c r="B14" s="42" t="s">
        <v>396</v>
      </c>
      <c r="C14" s="42" t="s">
        <v>393</v>
      </c>
      <c r="D14" s="43">
        <f>ROUND(SUMIF(RV_DATA!V9:'RV_DATA'!V14, 222750254, RV_DATA!I9:'RV_DATA'!I14), 6)</f>
        <v>4.8000000000000001E-2</v>
      </c>
      <c r="E14" s="50">
        <f>ROUND(RV_DATA!K11, 6)</f>
        <v>27.02</v>
      </c>
      <c r="F14" s="50">
        <f>ROUND(SUMIF(RV_DATA!V9:'RV_DATA'!V14, 222750254, RV_DATA!M9:'RV_DATA'!M14), 6)</f>
        <v>1.3</v>
      </c>
      <c r="Q14">
        <v>2</v>
      </c>
    </row>
    <row r="15" spans="1:17" ht="28.5" x14ac:dyDescent="0.2">
      <c r="A15" s="49" t="s">
        <v>397</v>
      </c>
      <c r="B15" s="42" t="s">
        <v>399</v>
      </c>
      <c r="C15" s="42" t="s">
        <v>393</v>
      </c>
      <c r="D15" s="43">
        <f>ROUND(SUMIF(RV_DATA!V9:'RV_DATA'!V14, -1065957140, RV_DATA!I9:'RV_DATA'!I14), 6)</f>
        <v>0.72240000000000004</v>
      </c>
      <c r="E15" s="50">
        <f>ROUND(RV_DATA!K10, 6)</f>
        <v>4.71</v>
      </c>
      <c r="F15" s="50">
        <f>ROUND(SUMIF(RV_DATA!V9:'RV_DATA'!V14, -1065957140, RV_DATA!M9:'RV_DATA'!M14), 6)</f>
        <v>3.4</v>
      </c>
      <c r="Q15">
        <v>2</v>
      </c>
    </row>
    <row r="16" spans="1:17" ht="14.25" x14ac:dyDescent="0.2">
      <c r="A16" s="49" t="s">
        <v>415</v>
      </c>
      <c r="B16" s="42" t="s">
        <v>417</v>
      </c>
      <c r="C16" s="42" t="s">
        <v>393</v>
      </c>
      <c r="D16" s="43">
        <f>ROUND(SUMIF(RV_DATA!V9:'RV_DATA'!V14, 975003665, RV_DATA!I9:'RV_DATA'!I14), 6)</f>
        <v>137.33279999999999</v>
      </c>
      <c r="E16" s="50">
        <f>ROUND(RV_DATA!K13, 6)</f>
        <v>6.02</v>
      </c>
      <c r="F16" s="50">
        <f>ROUND(SUMIF(RV_DATA!V9:'RV_DATA'!V14, 975003665, RV_DATA!M9:'RV_DATA'!M14), 6)</f>
        <v>826.77</v>
      </c>
      <c r="Q16">
        <v>2</v>
      </c>
    </row>
    <row r="17" spans="1:17" ht="28.5" x14ac:dyDescent="0.2">
      <c r="A17" s="49" t="s">
        <v>400</v>
      </c>
      <c r="B17" s="42" t="s">
        <v>402</v>
      </c>
      <c r="C17" s="42" t="s">
        <v>393</v>
      </c>
      <c r="D17" s="43">
        <f>ROUND(SUMIF(RV_DATA!V9:'RV_DATA'!V14, -272556929, RV_DATA!I9:'RV_DATA'!I14), 6)</f>
        <v>0.26400000000000001</v>
      </c>
      <c r="E17" s="50">
        <f>ROUND(RV_DATA!K9, 6)</f>
        <v>10.39</v>
      </c>
      <c r="F17" s="50">
        <f>ROUND(SUMIF(RV_DATA!V9:'RV_DATA'!V14, -272556929, RV_DATA!M9:'RV_DATA'!M14), 6)</f>
        <v>2.74</v>
      </c>
      <c r="Q17">
        <v>2</v>
      </c>
    </row>
    <row r="18" spans="1:17" ht="15" x14ac:dyDescent="0.25">
      <c r="A18" s="85" t="s">
        <v>776</v>
      </c>
      <c r="B18" s="85"/>
      <c r="C18" s="85"/>
      <c r="D18" s="85"/>
      <c r="E18" s="86">
        <f>SUMIF(Q12:Q17, 2, F12:F17)</f>
        <v>103037.41</v>
      </c>
      <c r="F18" s="86"/>
    </row>
    <row r="19" spans="1:17" ht="16.5" x14ac:dyDescent="0.2">
      <c r="A19" s="76" t="str">
        <f>CONCATENATE("Подраздел: ",IF(Source!G72&lt;&gt;"Новый подраздел", Source!G72, ""))</f>
        <v>Подраздел: Строительные работы</v>
      </c>
      <c r="B19" s="77"/>
      <c r="C19" s="77"/>
      <c r="D19" s="77"/>
      <c r="E19" s="77"/>
      <c r="F19" s="77"/>
    </row>
    <row r="20" spans="1:17" ht="14.25" x14ac:dyDescent="0.2">
      <c r="A20" s="83" t="s">
        <v>775</v>
      </c>
      <c r="B20" s="84"/>
      <c r="C20" s="84"/>
      <c r="D20" s="84"/>
      <c r="E20" s="84"/>
      <c r="F20" s="84"/>
    </row>
    <row r="21" spans="1:17" ht="28.5" x14ac:dyDescent="0.2">
      <c r="A21" s="49" t="s">
        <v>412</v>
      </c>
      <c r="B21" s="42" t="s">
        <v>414</v>
      </c>
      <c r="C21" s="42" t="s">
        <v>393</v>
      </c>
      <c r="D21" s="43">
        <f>ROUND(SUMIF(RV_DATA!V16:'RV_DATA'!V91, 158304140, RV_DATA!I16:'RV_DATA'!I91), 6)</f>
        <v>32.563200000000002</v>
      </c>
      <c r="E21" s="50">
        <f>ROUND(RV_DATA!K17, 6)</f>
        <v>744.2</v>
      </c>
      <c r="F21" s="50">
        <f>ROUND(SUMIF(RV_DATA!V16:'RV_DATA'!V91, 158304140, RV_DATA!M16:'RV_DATA'!M91), 6)</f>
        <v>24233.64</v>
      </c>
      <c r="Q21">
        <v>2</v>
      </c>
    </row>
    <row r="22" spans="1:17" ht="28.5" x14ac:dyDescent="0.2">
      <c r="A22" s="49" t="s">
        <v>493</v>
      </c>
      <c r="B22" s="42" t="s">
        <v>495</v>
      </c>
      <c r="C22" s="42" t="s">
        <v>393</v>
      </c>
      <c r="D22" s="43">
        <f>ROUND(SUMIF(RV_DATA!V16:'RV_DATA'!V91, -508985352, RV_DATA!I16:'RV_DATA'!I91), 6)</f>
        <v>66.602930999999998</v>
      </c>
      <c r="E22" s="50">
        <f>ROUND(RV_DATA!K53, 6)</f>
        <v>27.21</v>
      </c>
      <c r="F22" s="50">
        <f>ROUND(SUMIF(RV_DATA!V16:'RV_DATA'!V91, -508985352, RV_DATA!M16:'RV_DATA'!M91), 6)</f>
        <v>1812.27</v>
      </c>
      <c r="Q22">
        <v>2</v>
      </c>
    </row>
    <row r="23" spans="1:17" ht="14.25" x14ac:dyDescent="0.2">
      <c r="A23" s="49" t="s">
        <v>499</v>
      </c>
      <c r="B23" s="42" t="s">
        <v>501</v>
      </c>
      <c r="C23" s="42" t="s">
        <v>393</v>
      </c>
      <c r="D23" s="43">
        <f>ROUND(SUMIF(RV_DATA!V16:'RV_DATA'!V91, -933967410, RV_DATA!I16:'RV_DATA'!I91), 6)</f>
        <v>1.2466379999999999</v>
      </c>
      <c r="E23" s="50">
        <f>ROUND(RV_DATA!K64, 6)</f>
        <v>6.29</v>
      </c>
      <c r="F23" s="50">
        <f>ROUND(SUMIF(RV_DATA!V16:'RV_DATA'!V91, -933967410, RV_DATA!M16:'RV_DATA'!M91), 6)</f>
        <v>7.84</v>
      </c>
      <c r="Q23">
        <v>2</v>
      </c>
    </row>
    <row r="24" spans="1:17" ht="57" x14ac:dyDescent="0.2">
      <c r="A24" s="49" t="s">
        <v>390</v>
      </c>
      <c r="B24" s="42" t="s">
        <v>392</v>
      </c>
      <c r="C24" s="42" t="s">
        <v>393</v>
      </c>
      <c r="D24" s="43">
        <f>ROUND(SUMIF(RV_DATA!V16:'RV_DATA'!V91, 953863627, RV_DATA!I16:'RV_DATA'!I91), 6)</f>
        <v>2.4E-2</v>
      </c>
      <c r="E24" s="50">
        <f>ROUND(RV_DATA!K91, 6)</f>
        <v>41.19</v>
      </c>
      <c r="F24" s="50">
        <f>ROUND(SUMIF(RV_DATA!V16:'RV_DATA'!V91, 953863627, RV_DATA!M16:'RV_DATA'!M91), 6)</f>
        <v>0.98</v>
      </c>
      <c r="Q24">
        <v>2</v>
      </c>
    </row>
    <row r="25" spans="1:17" ht="14.25" x14ac:dyDescent="0.2">
      <c r="A25" s="49" t="s">
        <v>441</v>
      </c>
      <c r="B25" s="42" t="s">
        <v>443</v>
      </c>
      <c r="C25" s="42" t="s">
        <v>393</v>
      </c>
      <c r="D25" s="43">
        <f>ROUND(SUMIF(RV_DATA!V16:'RV_DATA'!V91, 1723114365, RV_DATA!I16:'RV_DATA'!I91), 6)</f>
        <v>0.77759999999999996</v>
      </c>
      <c r="E25" s="50">
        <f>ROUND(RV_DATA!K33, 6)</f>
        <v>1977.07</v>
      </c>
      <c r="F25" s="50">
        <f>ROUND(SUMIF(RV_DATA!V16:'RV_DATA'!V91, 1723114365, RV_DATA!M16:'RV_DATA'!M91), 6)</f>
        <v>1537.37</v>
      </c>
      <c r="Q25">
        <v>2</v>
      </c>
    </row>
    <row r="26" spans="1:17" ht="42.75" x14ac:dyDescent="0.2">
      <c r="A26" s="49" t="s">
        <v>453</v>
      </c>
      <c r="B26" s="42" t="s">
        <v>455</v>
      </c>
      <c r="C26" s="42" t="s">
        <v>393</v>
      </c>
      <c r="D26" s="43">
        <f>ROUND(SUMIF(RV_DATA!V16:'RV_DATA'!V91, -1587432455, RV_DATA!I16:'RV_DATA'!I91), 6)</f>
        <v>2.5344000000000002</v>
      </c>
      <c r="E26" s="50">
        <f>ROUND(RV_DATA!K46, 6)</f>
        <v>531.41</v>
      </c>
      <c r="F26" s="50">
        <f>ROUND(SUMIF(RV_DATA!V16:'RV_DATA'!V91, -1587432455, RV_DATA!M16:'RV_DATA'!M91), 6)</f>
        <v>1346.8</v>
      </c>
      <c r="Q26">
        <v>2</v>
      </c>
    </row>
    <row r="27" spans="1:17" ht="14.25" x14ac:dyDescent="0.2">
      <c r="A27" s="49" t="s">
        <v>420</v>
      </c>
      <c r="B27" s="42" t="s">
        <v>422</v>
      </c>
      <c r="C27" s="42" t="s">
        <v>393</v>
      </c>
      <c r="D27" s="43">
        <f>ROUND(SUMIF(RV_DATA!V16:'RV_DATA'!V91, 456524966, RV_DATA!I16:'RV_DATA'!I91), 6)</f>
        <v>33.206400000000002</v>
      </c>
      <c r="E27" s="50">
        <f>ROUND(RV_DATA!K16, 6)</f>
        <v>3.75</v>
      </c>
      <c r="F27" s="50">
        <f>ROUND(SUMIF(RV_DATA!V16:'RV_DATA'!V91, 456524966, RV_DATA!M16:'RV_DATA'!M91), 6)</f>
        <v>124.67</v>
      </c>
      <c r="Q27">
        <v>2</v>
      </c>
    </row>
    <row r="28" spans="1:17" ht="28.5" x14ac:dyDescent="0.2">
      <c r="A28" s="49" t="s">
        <v>456</v>
      </c>
      <c r="B28" s="42" t="s">
        <v>458</v>
      </c>
      <c r="C28" s="42" t="s">
        <v>393</v>
      </c>
      <c r="D28" s="43">
        <f>ROUND(SUMIF(RV_DATA!V16:'RV_DATA'!V91, -2110789947, RV_DATA!I16:'RV_DATA'!I91), 6)</f>
        <v>18.591591000000001</v>
      </c>
      <c r="E28" s="50">
        <f>ROUND(RV_DATA!K45, 6)</f>
        <v>7.44</v>
      </c>
      <c r="F28" s="50">
        <f>ROUND(SUMIF(RV_DATA!V16:'RV_DATA'!V91, -2110789947, RV_DATA!M16:'RV_DATA'!M91), 6)</f>
        <v>138.32</v>
      </c>
      <c r="Q28">
        <v>2</v>
      </c>
    </row>
    <row r="29" spans="1:17" ht="14.25" x14ac:dyDescent="0.2">
      <c r="A29" s="49" t="s">
        <v>502</v>
      </c>
      <c r="B29" s="42" t="s">
        <v>504</v>
      </c>
      <c r="C29" s="42" t="s">
        <v>393</v>
      </c>
      <c r="D29" s="43">
        <f>ROUND(SUMIF(RV_DATA!V16:'RV_DATA'!V91, 1196876742, RV_DATA!I16:'RV_DATA'!I91), 6)</f>
        <v>0.556535</v>
      </c>
      <c r="E29" s="50">
        <f>ROUND(RV_DATA!K62, 6)</f>
        <v>5.94</v>
      </c>
      <c r="F29" s="50">
        <f>ROUND(SUMIF(RV_DATA!V16:'RV_DATA'!V91, 1196876742, RV_DATA!M16:'RV_DATA'!M91), 6)</f>
        <v>3.31</v>
      </c>
      <c r="Q29">
        <v>2</v>
      </c>
    </row>
    <row r="30" spans="1:17" ht="14.25" x14ac:dyDescent="0.2">
      <c r="A30" s="49" t="s">
        <v>535</v>
      </c>
      <c r="B30" s="42" t="s">
        <v>537</v>
      </c>
      <c r="C30" s="42" t="s">
        <v>393</v>
      </c>
      <c r="D30" s="43">
        <f>ROUND(SUMIF(RV_DATA!V16:'RV_DATA'!V91, -423908251, RV_DATA!I16:'RV_DATA'!I91), 6)</f>
        <v>2.9200200000000001</v>
      </c>
      <c r="E30" s="50">
        <f>ROUND(RV_DATA!K83, 6)</f>
        <v>4.58</v>
      </c>
      <c r="F30" s="50">
        <f>ROUND(SUMIF(RV_DATA!V16:'RV_DATA'!V91, -423908251, RV_DATA!M16:'RV_DATA'!M91), 6)</f>
        <v>13.38</v>
      </c>
      <c r="Q30">
        <v>2</v>
      </c>
    </row>
    <row r="31" spans="1:17" ht="14.25" x14ac:dyDescent="0.2">
      <c r="A31" s="49" t="s">
        <v>505</v>
      </c>
      <c r="B31" s="42" t="s">
        <v>507</v>
      </c>
      <c r="C31" s="42" t="s">
        <v>393</v>
      </c>
      <c r="D31" s="43">
        <f>ROUND(SUMIF(RV_DATA!V16:'RV_DATA'!V91, -127885626, RV_DATA!I16:'RV_DATA'!I91), 6)</f>
        <v>3.33921</v>
      </c>
      <c r="E31" s="50">
        <f>ROUND(RV_DATA!K61, 6)</f>
        <v>11.26</v>
      </c>
      <c r="F31" s="50">
        <f>ROUND(SUMIF(RV_DATA!V16:'RV_DATA'!V91, -127885626, RV_DATA!M16:'RV_DATA'!M91), 6)</f>
        <v>37.6</v>
      </c>
      <c r="Q31">
        <v>2</v>
      </c>
    </row>
    <row r="32" spans="1:17" ht="28.5" x14ac:dyDescent="0.2">
      <c r="A32" s="49" t="s">
        <v>394</v>
      </c>
      <c r="B32" s="42" t="s">
        <v>396</v>
      </c>
      <c r="C32" s="42" t="s">
        <v>393</v>
      </c>
      <c r="D32" s="43">
        <f>ROUND(SUMIF(RV_DATA!V16:'RV_DATA'!V91, 222750254, RV_DATA!I16:'RV_DATA'!I91), 6)</f>
        <v>0.24</v>
      </c>
      <c r="E32" s="50">
        <f>ROUND(RV_DATA!K90, 6)</f>
        <v>27.02</v>
      </c>
      <c r="F32" s="50">
        <f>ROUND(SUMIF(RV_DATA!V16:'RV_DATA'!V91, 222750254, RV_DATA!M16:'RV_DATA'!M91), 6)</f>
        <v>6.48</v>
      </c>
      <c r="Q32">
        <v>2</v>
      </c>
    </row>
    <row r="33" spans="1:17" ht="28.5" x14ac:dyDescent="0.2">
      <c r="A33" s="49" t="s">
        <v>397</v>
      </c>
      <c r="B33" s="42" t="s">
        <v>399</v>
      </c>
      <c r="C33" s="42" t="s">
        <v>393</v>
      </c>
      <c r="D33" s="43">
        <f>ROUND(SUMIF(RV_DATA!V16:'RV_DATA'!V91, -1065957140, RV_DATA!I16:'RV_DATA'!I91), 6)</f>
        <v>3.6120000000000001</v>
      </c>
      <c r="E33" s="50">
        <f>ROUND(RV_DATA!K89, 6)</f>
        <v>4.71</v>
      </c>
      <c r="F33" s="50">
        <f>ROUND(SUMIF(RV_DATA!V16:'RV_DATA'!V91, -1065957140, RV_DATA!M16:'RV_DATA'!M91), 6)</f>
        <v>17.02</v>
      </c>
      <c r="Q33">
        <v>2</v>
      </c>
    </row>
    <row r="34" spans="1:17" ht="14.25" x14ac:dyDescent="0.2">
      <c r="A34" s="49" t="s">
        <v>538</v>
      </c>
      <c r="B34" s="42" t="s">
        <v>540</v>
      </c>
      <c r="C34" s="42" t="s">
        <v>393</v>
      </c>
      <c r="D34" s="43">
        <f>ROUND(SUMIF(RV_DATA!V16:'RV_DATA'!V91, -349933635, RV_DATA!I16:'RV_DATA'!I91), 6)</f>
        <v>3.4185599999999998</v>
      </c>
      <c r="E34" s="50">
        <f>ROUND(RV_DATA!K82, 6)</f>
        <v>5.08</v>
      </c>
      <c r="F34" s="50">
        <f>ROUND(SUMIF(RV_DATA!V16:'RV_DATA'!V91, -349933635, RV_DATA!M16:'RV_DATA'!M91), 6)</f>
        <v>17.36</v>
      </c>
      <c r="Q34">
        <v>2</v>
      </c>
    </row>
    <row r="35" spans="1:17" ht="14.25" x14ac:dyDescent="0.2">
      <c r="A35" s="49" t="s">
        <v>508</v>
      </c>
      <c r="B35" s="42" t="s">
        <v>510</v>
      </c>
      <c r="C35" s="42" t="s">
        <v>393</v>
      </c>
      <c r="D35" s="43">
        <f>ROUND(SUMIF(RV_DATA!V16:'RV_DATA'!V91, -1647942655, RV_DATA!I16:'RV_DATA'!I91), 6)</f>
        <v>1.11307</v>
      </c>
      <c r="E35" s="50">
        <f>ROUND(RV_DATA!K60, 6)</f>
        <v>364.4</v>
      </c>
      <c r="F35" s="50">
        <f>ROUND(SUMIF(RV_DATA!V16:'RV_DATA'!V91, -1647942655, RV_DATA!M16:'RV_DATA'!M91), 6)</f>
        <v>405.6</v>
      </c>
      <c r="Q35">
        <v>2</v>
      </c>
    </row>
    <row r="36" spans="1:17" ht="28.5" x14ac:dyDescent="0.2">
      <c r="A36" s="49" t="s">
        <v>520</v>
      </c>
      <c r="B36" s="42" t="s">
        <v>522</v>
      </c>
      <c r="C36" s="42" t="s">
        <v>393</v>
      </c>
      <c r="D36" s="43">
        <f>ROUND(SUMIF(RV_DATA!V16:'RV_DATA'!V91, 1844315211, RV_DATA!I16:'RV_DATA'!I91), 6)</f>
        <v>21.148330000000001</v>
      </c>
      <c r="E36" s="50">
        <f>ROUND(RV_DATA!K69, 6)</f>
        <v>31</v>
      </c>
      <c r="F36" s="50">
        <f>ROUND(SUMIF(RV_DATA!V16:'RV_DATA'!V91, 1844315211, RV_DATA!M16:'RV_DATA'!M91), 6)</f>
        <v>655.6</v>
      </c>
      <c r="Q36">
        <v>2</v>
      </c>
    </row>
    <row r="37" spans="1:17" ht="28.5" x14ac:dyDescent="0.2">
      <c r="A37" s="49" t="s">
        <v>400</v>
      </c>
      <c r="B37" s="42" t="s">
        <v>402</v>
      </c>
      <c r="C37" s="42" t="s">
        <v>393</v>
      </c>
      <c r="D37" s="43">
        <f>ROUND(SUMIF(RV_DATA!V16:'RV_DATA'!V91, -272556929, RV_DATA!I16:'RV_DATA'!I91), 6)</f>
        <v>1.32</v>
      </c>
      <c r="E37" s="50">
        <f>ROUND(RV_DATA!K88, 6)</f>
        <v>10.39</v>
      </c>
      <c r="F37" s="50">
        <f>ROUND(SUMIF(RV_DATA!V16:'RV_DATA'!V91, -272556929, RV_DATA!M16:'RV_DATA'!M91), 6)</f>
        <v>13.72</v>
      </c>
      <c r="Q37">
        <v>2</v>
      </c>
    </row>
    <row r="38" spans="1:17" ht="28.5" x14ac:dyDescent="0.2">
      <c r="A38" s="49" t="s">
        <v>459</v>
      </c>
      <c r="B38" s="42" t="s">
        <v>461</v>
      </c>
      <c r="C38" s="42" t="s">
        <v>393</v>
      </c>
      <c r="D38" s="43">
        <f>ROUND(SUMIF(RV_DATA!V16:'RV_DATA'!V91, -878210744, RV_DATA!I16:'RV_DATA'!I91), 6)</f>
        <v>9.5999999999999992E-3</v>
      </c>
      <c r="E38" s="50">
        <f>ROUND(RV_DATA!K44, 6)</f>
        <v>616.73</v>
      </c>
      <c r="F38" s="50">
        <f>ROUND(SUMIF(RV_DATA!V16:'RV_DATA'!V91, -878210744, RV_DATA!M16:'RV_DATA'!M91), 6)</f>
        <v>5.92</v>
      </c>
      <c r="Q38">
        <v>2</v>
      </c>
    </row>
    <row r="39" spans="1:17" ht="28.5" x14ac:dyDescent="0.2">
      <c r="A39" s="49" t="s">
        <v>462</v>
      </c>
      <c r="B39" s="42" t="s">
        <v>464</v>
      </c>
      <c r="C39" s="42" t="s">
        <v>393</v>
      </c>
      <c r="D39" s="43">
        <f>ROUND(SUMIF(RV_DATA!V16:'RV_DATA'!V91, 4389697, RV_DATA!I16:'RV_DATA'!I91), 6)</f>
        <v>2.5344000000000002</v>
      </c>
      <c r="E39" s="50">
        <f>ROUND(RV_DATA!K43, 6)</f>
        <v>454.31</v>
      </c>
      <c r="F39" s="50">
        <f>ROUND(SUMIF(RV_DATA!V16:'RV_DATA'!V91, 4389697, RV_DATA!M16:'RV_DATA'!M91), 6)</f>
        <v>1151.4000000000001</v>
      </c>
      <c r="Q39">
        <v>2</v>
      </c>
    </row>
    <row r="40" spans="1:17" ht="15" x14ac:dyDescent="0.25">
      <c r="A40" s="85" t="s">
        <v>776</v>
      </c>
      <c r="B40" s="85"/>
      <c r="C40" s="85"/>
      <c r="D40" s="85"/>
      <c r="E40" s="86">
        <f>SUMIF(Q21:Q39, 2, F21:F39)</f>
        <v>31529.279999999995</v>
      </c>
      <c r="F40" s="86"/>
    </row>
    <row r="41" spans="1:17" ht="14.25" x14ac:dyDescent="0.2">
      <c r="A41" s="83" t="s">
        <v>777</v>
      </c>
      <c r="B41" s="84"/>
      <c r="C41" s="84"/>
      <c r="D41" s="84"/>
      <c r="E41" s="84"/>
      <c r="F41" s="84"/>
    </row>
    <row r="42" spans="1:17" ht="28.5" x14ac:dyDescent="0.2">
      <c r="A42" s="49" t="s">
        <v>403</v>
      </c>
      <c r="B42" s="42" t="s">
        <v>405</v>
      </c>
      <c r="C42" s="42" t="s">
        <v>289</v>
      </c>
      <c r="D42" s="43">
        <f>ROUND(SUMIF(RV_DATA!V16:'RV_DATA'!V91, 358616797, RV_DATA!I16:'RV_DATA'!I91), 6)</f>
        <v>120</v>
      </c>
      <c r="E42" s="50">
        <f>ROUND(RV_DATA!K87, 6)</f>
        <v>397.91</v>
      </c>
      <c r="F42" s="50">
        <f>ROUND(SUMIF(RV_DATA!V16:'RV_DATA'!V91, 358616797, RV_DATA!M16:'RV_DATA'!M91), 6)</f>
        <v>47749.2</v>
      </c>
      <c r="Q42">
        <v>3</v>
      </c>
    </row>
    <row r="43" spans="1:17" ht="57" x14ac:dyDescent="0.2">
      <c r="A43" s="49" t="s">
        <v>162</v>
      </c>
      <c r="B43" s="42" t="s">
        <v>163</v>
      </c>
      <c r="C43" s="42" t="s">
        <v>155</v>
      </c>
      <c r="D43" s="43">
        <f>ROUND(SUMIF(RV_DATA!V16:'RV_DATA'!V91, 346107761, RV_DATA!I16:'RV_DATA'!I91), 6)</f>
        <v>0.67017000000000004</v>
      </c>
      <c r="E43" s="50">
        <f>ROUND(RV_DATA!K55, 6)</f>
        <v>37329.29</v>
      </c>
      <c r="F43" s="50">
        <f>ROUND(SUMIF(RV_DATA!V16:'RV_DATA'!V91, 346107761, RV_DATA!M16:'RV_DATA'!M91), 6)</f>
        <v>25016.97</v>
      </c>
      <c r="Q43">
        <v>3</v>
      </c>
    </row>
    <row r="44" spans="1:17" ht="28.5" x14ac:dyDescent="0.2">
      <c r="A44" s="49" t="s">
        <v>406</v>
      </c>
      <c r="B44" s="42" t="s">
        <v>408</v>
      </c>
      <c r="C44" s="42" t="s">
        <v>155</v>
      </c>
      <c r="D44" s="43">
        <f>ROUND(SUMIF(RV_DATA!V16:'RV_DATA'!V91, -76456781, RV_DATA!I16:'RV_DATA'!I91), 6)</f>
        <v>2.3999999999999998E-3</v>
      </c>
      <c r="E44" s="50">
        <f>ROUND(RV_DATA!K86, 6)</f>
        <v>153777.19</v>
      </c>
      <c r="F44" s="50">
        <f>ROUND(SUMIF(RV_DATA!V16:'RV_DATA'!V91, -76456781, RV_DATA!M16:'RV_DATA'!M91), 6)</f>
        <v>369.06</v>
      </c>
      <c r="Q44">
        <v>3</v>
      </c>
    </row>
    <row r="45" spans="1:17" ht="28.5" x14ac:dyDescent="0.2">
      <c r="A45" s="49" t="s">
        <v>523</v>
      </c>
      <c r="B45" s="42" t="s">
        <v>525</v>
      </c>
      <c r="C45" s="42" t="s">
        <v>155</v>
      </c>
      <c r="D45" s="43">
        <f>ROUND(SUMIF(RV_DATA!V16:'RV_DATA'!V91, 442495294, RV_DATA!I16:'RV_DATA'!I91), 6)</f>
        <v>3.673E-3</v>
      </c>
      <c r="E45" s="50">
        <f>ROUND(RV_DATA!K68, 6)</f>
        <v>105084.63</v>
      </c>
      <c r="F45" s="50">
        <f>ROUND(SUMIF(RV_DATA!V16:'RV_DATA'!V91, 442495294, RV_DATA!M16:'RV_DATA'!M91), 6)</f>
        <v>385.99</v>
      </c>
      <c r="Q45">
        <v>3</v>
      </c>
    </row>
    <row r="46" spans="1:17" ht="28.5" x14ac:dyDescent="0.2">
      <c r="A46" s="49" t="s">
        <v>423</v>
      </c>
      <c r="B46" s="42" t="s">
        <v>425</v>
      </c>
      <c r="C46" s="42" t="s">
        <v>35</v>
      </c>
      <c r="D46" s="43">
        <f>ROUND(SUMIF(RV_DATA!V16:'RV_DATA'!V91, 496958337, RV_DATA!I16:'RV_DATA'!I91), 6)</f>
        <v>21.504000000000001</v>
      </c>
      <c r="E46" s="50">
        <f>ROUND(RV_DATA!K18, 6)</f>
        <v>590.78</v>
      </c>
      <c r="F46" s="50">
        <f>ROUND(SUMIF(RV_DATA!V16:'RV_DATA'!V91, 496958337, RV_DATA!M16:'RV_DATA'!M91), 6)</f>
        <v>12704.06</v>
      </c>
      <c r="Q46">
        <v>3</v>
      </c>
    </row>
    <row r="47" spans="1:17" ht="42.75" x14ac:dyDescent="0.2">
      <c r="A47" s="49" t="s">
        <v>432</v>
      </c>
      <c r="B47" s="42" t="s">
        <v>434</v>
      </c>
      <c r="C47" s="42" t="s">
        <v>35</v>
      </c>
      <c r="D47" s="43">
        <f>ROUND(SUMIF(RV_DATA!V16:'RV_DATA'!V91, 466345056, RV_DATA!I16:'RV_DATA'!I91), 6)</f>
        <v>2.5920000000000001</v>
      </c>
      <c r="E47" s="50">
        <f>ROUND(RV_DATA!K26, 6)</f>
        <v>1436.5</v>
      </c>
      <c r="F47" s="50">
        <f>ROUND(SUMIF(RV_DATA!V16:'RV_DATA'!V91, 466345056, RV_DATA!M16:'RV_DATA'!M91), 6)</f>
        <v>3723.41</v>
      </c>
      <c r="Q47">
        <v>3</v>
      </c>
    </row>
    <row r="48" spans="1:17" ht="42.75" x14ac:dyDescent="0.2">
      <c r="A48" s="49" t="s">
        <v>435</v>
      </c>
      <c r="B48" s="42" t="s">
        <v>437</v>
      </c>
      <c r="C48" s="42" t="s">
        <v>35</v>
      </c>
      <c r="D48" s="43">
        <f>ROUND(SUMIF(RV_DATA!V16:'RV_DATA'!V91, -1287472248, RV_DATA!I16:'RV_DATA'!I91), 6)</f>
        <v>1.296</v>
      </c>
      <c r="E48" s="50">
        <f>ROUND(RV_DATA!K25, 6)</f>
        <v>1436.5</v>
      </c>
      <c r="F48" s="50">
        <f>ROUND(SUMIF(RV_DATA!V16:'RV_DATA'!V91, -1287472248, RV_DATA!M16:'RV_DATA'!M91), 6)</f>
        <v>1861.78</v>
      </c>
      <c r="Q48">
        <v>3</v>
      </c>
    </row>
    <row r="49" spans="1:17" ht="42.75" x14ac:dyDescent="0.2">
      <c r="A49" s="49" t="s">
        <v>438</v>
      </c>
      <c r="B49" s="42" t="s">
        <v>440</v>
      </c>
      <c r="C49" s="42" t="s">
        <v>35</v>
      </c>
      <c r="D49" s="43">
        <f>ROUND(SUMIF(RV_DATA!V16:'RV_DATA'!V91, 566866900, RV_DATA!I16:'RV_DATA'!I91), 6)</f>
        <v>14.4</v>
      </c>
      <c r="E49" s="50">
        <f>ROUND(RV_DATA!K24, 6)</f>
        <v>1241</v>
      </c>
      <c r="F49" s="50">
        <f>ROUND(SUMIF(RV_DATA!V16:'RV_DATA'!V91, 566866900, RV_DATA!M16:'RV_DATA'!M91), 6)</f>
        <v>17870.400000000001</v>
      </c>
      <c r="Q49">
        <v>3</v>
      </c>
    </row>
    <row r="50" spans="1:17" ht="42.75" x14ac:dyDescent="0.2">
      <c r="A50" s="49" t="s">
        <v>444</v>
      </c>
      <c r="B50" s="42" t="s">
        <v>446</v>
      </c>
      <c r="C50" s="42" t="s">
        <v>155</v>
      </c>
      <c r="D50" s="43">
        <f>ROUND(SUMIF(RV_DATA!V16:'RV_DATA'!V91, 1595178378, RV_DATA!I16:'RV_DATA'!I91), 6)</f>
        <v>6.6239999999999993E-2</v>
      </c>
      <c r="E50" s="50">
        <f>ROUND(RV_DATA!K31, 6)</f>
        <v>36258.75</v>
      </c>
      <c r="F50" s="50">
        <f>ROUND(SUMIF(RV_DATA!V16:'RV_DATA'!V91, 1595178378, RV_DATA!M16:'RV_DATA'!M91), 6)</f>
        <v>2401.7800000000002</v>
      </c>
      <c r="Q50">
        <v>3</v>
      </c>
    </row>
    <row r="51" spans="1:17" ht="57" x14ac:dyDescent="0.2">
      <c r="A51" s="49" t="s">
        <v>541</v>
      </c>
      <c r="B51" s="42" t="s">
        <v>543</v>
      </c>
      <c r="C51" s="42" t="s">
        <v>121</v>
      </c>
      <c r="D51" s="43">
        <f>ROUND(SUMIF(RV_DATA!V16:'RV_DATA'!V91, -1431842482, RV_DATA!I16:'RV_DATA'!I91), 6)</f>
        <v>62.289012</v>
      </c>
      <c r="E51" s="50">
        <f>ROUND(RV_DATA!K81, 6)</f>
        <v>16.09</v>
      </c>
      <c r="F51" s="50">
        <f>ROUND(SUMIF(RV_DATA!V16:'RV_DATA'!V91, -1431842482, RV_DATA!M16:'RV_DATA'!M91), 6)</f>
        <v>1002.24</v>
      </c>
      <c r="Q51">
        <v>3</v>
      </c>
    </row>
    <row r="52" spans="1:17" ht="57" x14ac:dyDescent="0.2">
      <c r="A52" s="49" t="s">
        <v>544</v>
      </c>
      <c r="B52" s="42" t="s">
        <v>546</v>
      </c>
      <c r="C52" s="42" t="s">
        <v>121</v>
      </c>
      <c r="D52" s="43">
        <f>ROUND(SUMIF(RV_DATA!V16:'RV_DATA'!V91, 2025847436, RV_DATA!I16:'RV_DATA'!I91), 6)</f>
        <v>62.289012</v>
      </c>
      <c r="E52" s="50">
        <f>ROUND(RV_DATA!K80, 6)</f>
        <v>32.99</v>
      </c>
      <c r="F52" s="50">
        <f>ROUND(SUMIF(RV_DATA!V16:'RV_DATA'!V91, 2025847436, RV_DATA!M16:'RV_DATA'!M91), 6)</f>
        <v>2054.91</v>
      </c>
      <c r="Q52">
        <v>3</v>
      </c>
    </row>
    <row r="53" spans="1:17" ht="14.25" x14ac:dyDescent="0.2">
      <c r="A53" s="49" t="s">
        <v>484</v>
      </c>
      <c r="B53" s="42" t="s">
        <v>486</v>
      </c>
      <c r="C53" s="42" t="s">
        <v>289</v>
      </c>
      <c r="D53" s="43">
        <f>ROUND(SUMIF(RV_DATA!V16:'RV_DATA'!V91, -1413124159, RV_DATA!I16:'RV_DATA'!I91), 6)</f>
        <v>0.04</v>
      </c>
      <c r="E53" s="50">
        <f>ROUND(RV_DATA!K49, 6)</f>
        <v>91.89</v>
      </c>
      <c r="F53" s="50">
        <f>ROUND(SUMIF(RV_DATA!V16:'RV_DATA'!V91, -1413124159, RV_DATA!M16:'RV_DATA'!M91), 6)</f>
        <v>3.68</v>
      </c>
      <c r="Q53">
        <v>3</v>
      </c>
    </row>
    <row r="54" spans="1:17" ht="42.75" x14ac:dyDescent="0.2">
      <c r="A54" s="49" t="s">
        <v>426</v>
      </c>
      <c r="B54" s="42" t="s">
        <v>428</v>
      </c>
      <c r="C54" s="42" t="s">
        <v>155</v>
      </c>
      <c r="D54" s="43">
        <f>ROUND(SUMIF(RV_DATA!V16:'RV_DATA'!V91, -1263609757, RV_DATA!I16:'RV_DATA'!I91), 6)</f>
        <v>0.24640000000000001</v>
      </c>
      <c r="E54" s="50">
        <f>ROUND(RV_DATA!K22, 6)</f>
        <v>4207.5</v>
      </c>
      <c r="F54" s="50">
        <f>ROUND(SUMIF(RV_DATA!V16:'RV_DATA'!V91, -1263609757, RV_DATA!M16:'RV_DATA'!M91), 6)</f>
        <v>1036.56</v>
      </c>
      <c r="Q54">
        <v>3</v>
      </c>
    </row>
    <row r="55" spans="1:17" ht="28.5" x14ac:dyDescent="0.2">
      <c r="A55" s="49" t="s">
        <v>496</v>
      </c>
      <c r="B55" s="42" t="s">
        <v>498</v>
      </c>
      <c r="C55" s="42" t="s">
        <v>155</v>
      </c>
      <c r="D55" s="43">
        <f>ROUND(SUMIF(RV_DATA!V16:'RV_DATA'!V91, 1991017595, RV_DATA!I16:'RV_DATA'!I91), 6)</f>
        <v>2.7397999999999999E-2</v>
      </c>
      <c r="E55" s="50">
        <f>ROUND(RV_DATA!K52, 6)</f>
        <v>110781.14</v>
      </c>
      <c r="F55" s="50">
        <f>ROUND(SUMIF(RV_DATA!V16:'RV_DATA'!V91, 1991017595, RV_DATA!M16:'RV_DATA'!M91), 6)</f>
        <v>3035.16</v>
      </c>
      <c r="Q55">
        <v>3</v>
      </c>
    </row>
    <row r="56" spans="1:17" ht="28.5" x14ac:dyDescent="0.2">
      <c r="A56" s="49" t="s">
        <v>547</v>
      </c>
      <c r="B56" s="42" t="s">
        <v>549</v>
      </c>
      <c r="C56" s="42" t="s">
        <v>289</v>
      </c>
      <c r="D56" s="43">
        <f>ROUND(SUMIF(RV_DATA!V16:'RV_DATA'!V91, 1562416936, RV_DATA!I16:'RV_DATA'!I91), 6)</f>
        <v>144.57660000000001</v>
      </c>
      <c r="E56" s="50">
        <f>ROUND(RV_DATA!K79, 6)</f>
        <v>245.08</v>
      </c>
      <c r="F56" s="50">
        <f>ROUND(SUMIF(RV_DATA!V16:'RV_DATA'!V91, 1562416936, RV_DATA!M16:'RV_DATA'!M91), 6)</f>
        <v>35432.83</v>
      </c>
      <c r="Q56">
        <v>3</v>
      </c>
    </row>
    <row r="57" spans="1:17" ht="42.75" x14ac:dyDescent="0.2">
      <c r="A57" s="49" t="s">
        <v>550</v>
      </c>
      <c r="B57" s="42" t="s">
        <v>552</v>
      </c>
      <c r="C57" s="42" t="s">
        <v>121</v>
      </c>
      <c r="D57" s="43">
        <f>ROUND(SUMIF(RV_DATA!V16:'RV_DATA'!V91, 556144948, RV_DATA!I16:'RV_DATA'!I91), 6)</f>
        <v>124.592268</v>
      </c>
      <c r="E57" s="50">
        <f>ROUND(RV_DATA!K78, 6)</f>
        <v>28.43</v>
      </c>
      <c r="F57" s="50">
        <f>ROUND(SUMIF(RV_DATA!V16:'RV_DATA'!V91, 556144948, RV_DATA!M16:'RV_DATA'!M91), 6)</f>
        <v>3542.16</v>
      </c>
      <c r="Q57">
        <v>3</v>
      </c>
    </row>
    <row r="58" spans="1:17" ht="14.25" x14ac:dyDescent="0.2">
      <c r="A58" s="49" t="s">
        <v>487</v>
      </c>
      <c r="B58" s="42" t="s">
        <v>489</v>
      </c>
      <c r="C58" s="42" t="s">
        <v>35</v>
      </c>
      <c r="D58" s="43">
        <f>ROUND(SUMIF(RV_DATA!V16:'RV_DATA'!V91, 1411454429, RV_DATA!I16:'RV_DATA'!I91), 6)</f>
        <v>2.7999999999999998E-4</v>
      </c>
      <c r="E58" s="50">
        <f>ROUND(RV_DATA!K48, 6)</f>
        <v>35.25</v>
      </c>
      <c r="F58" s="50">
        <f>ROUND(SUMIF(RV_DATA!V16:'RV_DATA'!V91, 1411454429, RV_DATA!M16:'RV_DATA'!M91), 6)</f>
        <v>0.01</v>
      </c>
      <c r="Q58">
        <v>3</v>
      </c>
    </row>
    <row r="59" spans="1:17" ht="28.5" x14ac:dyDescent="0.2">
      <c r="A59" s="49" t="s">
        <v>465</v>
      </c>
      <c r="B59" s="42" t="s">
        <v>467</v>
      </c>
      <c r="C59" s="42" t="s">
        <v>289</v>
      </c>
      <c r="D59" s="43">
        <f>ROUND(SUMIF(RV_DATA!V16:'RV_DATA'!V91, 657210226, RV_DATA!I16:'RV_DATA'!I91), 6)</f>
        <v>5.3760000000000003</v>
      </c>
      <c r="E59" s="50">
        <f>ROUND(RV_DATA!K42, 6)</f>
        <v>12.02</v>
      </c>
      <c r="F59" s="50">
        <f>ROUND(SUMIF(RV_DATA!V16:'RV_DATA'!V91, 657210226, RV_DATA!M16:'RV_DATA'!M91), 6)</f>
        <v>64.62</v>
      </c>
      <c r="Q59">
        <v>3</v>
      </c>
    </row>
    <row r="60" spans="1:17" ht="14.25" x14ac:dyDescent="0.2">
      <c r="A60" s="49" t="s">
        <v>468</v>
      </c>
      <c r="B60" s="42" t="s">
        <v>470</v>
      </c>
      <c r="C60" s="42" t="s">
        <v>155</v>
      </c>
      <c r="D60" s="43">
        <f>ROUND(SUMIF(RV_DATA!V16:'RV_DATA'!V91, -588394673, RV_DATA!I16:'RV_DATA'!I91), 6)</f>
        <v>3.0240000000000002E-3</v>
      </c>
      <c r="E60" s="50">
        <f>ROUND(RV_DATA!K41, 6)</f>
        <v>343020.03</v>
      </c>
      <c r="F60" s="50">
        <f>ROUND(SUMIF(RV_DATA!V16:'RV_DATA'!V91, -588394673, RV_DATA!M16:'RV_DATA'!M91), 6)</f>
        <v>1037.29</v>
      </c>
      <c r="Q60">
        <v>3</v>
      </c>
    </row>
    <row r="61" spans="1:17" ht="42.75" x14ac:dyDescent="0.2">
      <c r="A61" s="49" t="s">
        <v>553</v>
      </c>
      <c r="B61" s="42" t="s">
        <v>555</v>
      </c>
      <c r="C61" s="42" t="s">
        <v>556</v>
      </c>
      <c r="D61" s="43">
        <f>ROUND(SUMIF(RV_DATA!V16:'RV_DATA'!V91, -1158088069, RV_DATA!I16:'RV_DATA'!I91), 6)</f>
        <v>1.2962039999999999</v>
      </c>
      <c r="E61" s="50">
        <f>ROUND(RV_DATA!K77, 6)</f>
        <v>851.18</v>
      </c>
      <c r="F61" s="50">
        <f>ROUND(SUMIF(RV_DATA!V16:'RV_DATA'!V91, -1158088069, RV_DATA!M16:'RV_DATA'!M91), 6)</f>
        <v>1103.3</v>
      </c>
      <c r="Q61">
        <v>3</v>
      </c>
    </row>
    <row r="62" spans="1:17" ht="42.75" x14ac:dyDescent="0.2">
      <c r="A62" s="49" t="s">
        <v>557</v>
      </c>
      <c r="B62" s="42" t="s">
        <v>559</v>
      </c>
      <c r="C62" s="42" t="s">
        <v>121</v>
      </c>
      <c r="D62" s="43">
        <f>ROUND(SUMIF(RV_DATA!V16:'RV_DATA'!V91, 90292372, RV_DATA!I16:'RV_DATA'!I91), 6)</f>
        <v>68.527884</v>
      </c>
      <c r="E62" s="50">
        <f>ROUND(RV_DATA!K76, 6)</f>
        <v>37.46</v>
      </c>
      <c r="F62" s="50">
        <f>ROUND(SUMIF(RV_DATA!V16:'RV_DATA'!V91, 90292372, RV_DATA!M16:'RV_DATA'!M91), 6)</f>
        <v>2567.0500000000002</v>
      </c>
      <c r="Q62">
        <v>3</v>
      </c>
    </row>
    <row r="63" spans="1:17" ht="42.75" x14ac:dyDescent="0.2">
      <c r="A63" s="49" t="s">
        <v>560</v>
      </c>
      <c r="B63" s="42" t="s">
        <v>562</v>
      </c>
      <c r="C63" s="42" t="s">
        <v>121</v>
      </c>
      <c r="D63" s="43">
        <f>ROUND(SUMIF(RV_DATA!V16:'RV_DATA'!V91, 319665718, RV_DATA!I16:'RV_DATA'!I91), 6)</f>
        <v>68.527884</v>
      </c>
      <c r="E63" s="50">
        <f>ROUND(RV_DATA!K75, 6)</f>
        <v>153.38999999999999</v>
      </c>
      <c r="F63" s="50">
        <f>ROUND(SUMIF(RV_DATA!V16:'RV_DATA'!V91, 319665718, RV_DATA!M16:'RV_DATA'!M91), 6)</f>
        <v>10511.49</v>
      </c>
      <c r="Q63">
        <v>3</v>
      </c>
    </row>
    <row r="64" spans="1:17" ht="28.5" x14ac:dyDescent="0.2">
      <c r="A64" s="49" t="s">
        <v>471</v>
      </c>
      <c r="B64" s="42" t="s">
        <v>473</v>
      </c>
      <c r="C64" s="42" t="s">
        <v>474</v>
      </c>
      <c r="D64" s="43">
        <f>ROUND(SUMIF(RV_DATA!V16:'RV_DATA'!V91, -735317913, RV_DATA!I16:'RV_DATA'!I91), 6)</f>
        <v>705.6</v>
      </c>
      <c r="E64" s="50">
        <f>ROUND(RV_DATA!K40, 6)</f>
        <v>17.77</v>
      </c>
      <c r="F64" s="50">
        <f>ROUND(SUMIF(RV_DATA!V16:'RV_DATA'!V91, -735317913, RV_DATA!M16:'RV_DATA'!M91), 6)</f>
        <v>12538.51</v>
      </c>
      <c r="Q64">
        <v>3</v>
      </c>
    </row>
    <row r="65" spans="1:17" ht="57" x14ac:dyDescent="0.2">
      <c r="A65" s="49" t="s">
        <v>475</v>
      </c>
      <c r="B65" s="42" t="s">
        <v>477</v>
      </c>
      <c r="C65" s="42" t="s">
        <v>474</v>
      </c>
      <c r="D65" s="43">
        <f>ROUND(SUMIF(RV_DATA!V16:'RV_DATA'!V91, 2130616076, RV_DATA!I16:'RV_DATA'!I91), 6)</f>
        <v>231.84</v>
      </c>
      <c r="E65" s="50">
        <f>ROUND(RV_DATA!K39, 6)</f>
        <v>202.34</v>
      </c>
      <c r="F65" s="50">
        <f>ROUND(SUMIF(RV_DATA!V16:'RV_DATA'!V91, 2130616076, RV_DATA!M16:'RV_DATA'!M91), 6)</f>
        <v>46910.51</v>
      </c>
      <c r="Q65">
        <v>3</v>
      </c>
    </row>
    <row r="66" spans="1:17" ht="14.25" x14ac:dyDescent="0.2">
      <c r="A66" s="49" t="s">
        <v>511</v>
      </c>
      <c r="B66" s="42" t="s">
        <v>513</v>
      </c>
      <c r="C66" s="42" t="s">
        <v>35</v>
      </c>
      <c r="D66" s="43">
        <f>ROUND(SUMIF(RV_DATA!V16:'RV_DATA'!V91, -833209200, RV_DATA!I16:'RV_DATA'!I91), 6)</f>
        <v>0.66784200000000005</v>
      </c>
      <c r="E66" s="50">
        <f>ROUND(RV_DATA!K58, 6)</f>
        <v>53.38</v>
      </c>
      <c r="F66" s="50">
        <f>ROUND(SUMIF(RV_DATA!V16:'RV_DATA'!V91, -833209200, RV_DATA!M16:'RV_DATA'!M91), 6)</f>
        <v>35.65</v>
      </c>
      <c r="Q66">
        <v>3</v>
      </c>
    </row>
    <row r="67" spans="1:17" ht="14.25" x14ac:dyDescent="0.2">
      <c r="A67" s="49" t="s">
        <v>514</v>
      </c>
      <c r="B67" s="42" t="s">
        <v>516</v>
      </c>
      <c r="C67" s="42" t="s">
        <v>35</v>
      </c>
      <c r="D67" s="43">
        <f>ROUND(SUMIF(RV_DATA!V16:'RV_DATA'!V91, 1367485125, RV_DATA!I16:'RV_DATA'!I91), 6)</f>
        <v>0.22261400000000001</v>
      </c>
      <c r="E67" s="50">
        <f>ROUND(RV_DATA!K57, 6)</f>
        <v>32.520000000000003</v>
      </c>
      <c r="F67" s="50">
        <f>ROUND(SUMIF(RV_DATA!V16:'RV_DATA'!V91, 1367485125, RV_DATA!M16:'RV_DATA'!M91), 6)</f>
        <v>7.23</v>
      </c>
      <c r="Q67">
        <v>3</v>
      </c>
    </row>
    <row r="68" spans="1:17" ht="28.5" x14ac:dyDescent="0.2">
      <c r="A68" s="49" t="s">
        <v>478</v>
      </c>
      <c r="B68" s="42" t="s">
        <v>480</v>
      </c>
      <c r="C68" s="42" t="s">
        <v>155</v>
      </c>
      <c r="D68" s="43">
        <f>ROUND(SUMIF(RV_DATA!V16:'RV_DATA'!V91, -308535249, RV_DATA!I16:'RV_DATA'!I91), 6)</f>
        <v>5.04E-2</v>
      </c>
      <c r="E68" s="50">
        <f>ROUND(RV_DATA!K38, 6)</f>
        <v>748299.67</v>
      </c>
      <c r="F68" s="50">
        <f>ROUND(SUMIF(RV_DATA!V16:'RV_DATA'!V91, -308535249, RV_DATA!M16:'RV_DATA'!M91), 6)</f>
        <v>37714.300000000003</v>
      </c>
      <c r="Q68">
        <v>3</v>
      </c>
    </row>
    <row r="69" spans="1:17" ht="71.25" x14ac:dyDescent="0.2">
      <c r="A69" s="49" t="s">
        <v>529</v>
      </c>
      <c r="B69" s="42" t="s">
        <v>531</v>
      </c>
      <c r="C69" s="42" t="s">
        <v>155</v>
      </c>
      <c r="D69" s="43">
        <f>ROUND(SUMIF(RV_DATA!V16:'RV_DATA'!V91, -328041982, RV_DATA!I16:'RV_DATA'!I91), 6)</f>
        <v>2.214E-2</v>
      </c>
      <c r="E69" s="50">
        <f>ROUND(RV_DATA!K71, 6)</f>
        <v>81012.06</v>
      </c>
      <c r="F69" s="50">
        <f>ROUND(SUMIF(RV_DATA!V16:'RV_DATA'!V91, -328041982, RV_DATA!M16:'RV_DATA'!M91), 6)</f>
        <v>1793.61</v>
      </c>
      <c r="Q69">
        <v>3</v>
      </c>
    </row>
    <row r="70" spans="1:17" ht="28.5" x14ac:dyDescent="0.2">
      <c r="A70" s="49" t="s">
        <v>532</v>
      </c>
      <c r="B70" s="42" t="s">
        <v>534</v>
      </c>
      <c r="C70" s="42" t="s">
        <v>474</v>
      </c>
      <c r="D70" s="43">
        <f>ROUND(SUMIF(RV_DATA!V16:'RV_DATA'!V91, -691472310, RV_DATA!I16:'RV_DATA'!I91), 6)</f>
        <v>2.4300000000000002</v>
      </c>
      <c r="E70" s="50">
        <f>ROUND(RV_DATA!K70, 6)</f>
        <v>78.180000000000007</v>
      </c>
      <c r="F70" s="50">
        <f>ROUND(SUMIF(RV_DATA!V16:'RV_DATA'!V91, -691472310, RV_DATA!M16:'RV_DATA'!M91), 6)</f>
        <v>189.98</v>
      </c>
      <c r="Q70">
        <v>3</v>
      </c>
    </row>
    <row r="71" spans="1:17" ht="42.75" x14ac:dyDescent="0.2">
      <c r="A71" s="49" t="s">
        <v>447</v>
      </c>
      <c r="B71" s="42" t="s">
        <v>449</v>
      </c>
      <c r="C71" s="42" t="s">
        <v>35</v>
      </c>
      <c r="D71" s="43">
        <f>ROUND(SUMIF(RV_DATA!V16:'RV_DATA'!V91, 1332636129, RV_DATA!I16:'RV_DATA'!I91), 6)</f>
        <v>9.5999999999999992E-3</v>
      </c>
      <c r="E71" s="50">
        <f>ROUND(RV_DATA!K30, 6)</f>
        <v>7064.05</v>
      </c>
      <c r="F71" s="50">
        <f>ROUND(SUMIF(RV_DATA!V16:'RV_DATA'!V91, 1332636129, RV_DATA!M16:'RV_DATA'!M91), 6)</f>
        <v>67.81</v>
      </c>
      <c r="Q71">
        <v>3</v>
      </c>
    </row>
    <row r="72" spans="1:17" ht="57" x14ac:dyDescent="0.2">
      <c r="A72" s="49" t="s">
        <v>490</v>
      </c>
      <c r="B72" s="42" t="s">
        <v>492</v>
      </c>
      <c r="C72" s="42" t="s">
        <v>35</v>
      </c>
      <c r="D72" s="43">
        <f>ROUND(SUMIF(RV_DATA!V16:'RV_DATA'!V91, 99845993, RV_DATA!I16:'RV_DATA'!I91), 6)</f>
        <v>1.6320000000000001E-2</v>
      </c>
      <c r="E72" s="50">
        <f>ROUND(RV_DATA!K47, 6)</f>
        <v>3247.23</v>
      </c>
      <c r="F72" s="50">
        <f>ROUND(SUMIF(RV_DATA!V16:'RV_DATA'!V91, 99845993, RV_DATA!M16:'RV_DATA'!M91), 6)</f>
        <v>52.99</v>
      </c>
      <c r="Q72">
        <v>3</v>
      </c>
    </row>
    <row r="73" spans="1:17" ht="57" x14ac:dyDescent="0.2">
      <c r="A73" s="49" t="s">
        <v>429</v>
      </c>
      <c r="B73" s="42" t="s">
        <v>431</v>
      </c>
      <c r="C73" s="42" t="s">
        <v>35</v>
      </c>
      <c r="D73" s="43">
        <f>ROUND(SUMIF(RV_DATA!V16:'RV_DATA'!V91, -887866689, RV_DATA!I16:'RV_DATA'!I91), 6)</f>
        <v>4.2560000000000002</v>
      </c>
      <c r="E73" s="50">
        <f>ROUND(RV_DATA!K21, 6)</f>
        <v>3714.73</v>
      </c>
      <c r="F73" s="50">
        <f>ROUND(SUMIF(RV_DATA!V16:'RV_DATA'!V91, -887866689, RV_DATA!M16:'RV_DATA'!M91), 6)</f>
        <v>15809.92</v>
      </c>
      <c r="Q73">
        <v>3</v>
      </c>
    </row>
    <row r="74" spans="1:17" ht="42.75" x14ac:dyDescent="0.2">
      <c r="A74" s="49" t="s">
        <v>450</v>
      </c>
      <c r="B74" s="42" t="s">
        <v>452</v>
      </c>
      <c r="C74" s="42" t="s">
        <v>155</v>
      </c>
      <c r="D74" s="43">
        <f>ROUND(SUMIF(RV_DATA!V16:'RV_DATA'!V91, 1846978656, RV_DATA!I16:'RV_DATA'!I91), 6)</f>
        <v>6.6719999999999997</v>
      </c>
      <c r="E74" s="50">
        <f>ROUND(RV_DATA!K29, 6)</f>
        <v>2562.79</v>
      </c>
      <c r="F74" s="50">
        <f>ROUND(SUMIF(RV_DATA!V16:'RV_DATA'!V91, 1846978656, RV_DATA!M16:'RV_DATA'!M91), 6)</f>
        <v>17098.939999999999</v>
      </c>
      <c r="Q74">
        <v>3</v>
      </c>
    </row>
    <row r="75" spans="1:17" ht="71.25" x14ac:dyDescent="0.2">
      <c r="A75" s="49" t="s">
        <v>517</v>
      </c>
      <c r="B75" s="42" t="s">
        <v>519</v>
      </c>
      <c r="C75" s="42" t="s">
        <v>155</v>
      </c>
      <c r="D75" s="43">
        <f>ROUND(SUMIF(RV_DATA!V16:'RV_DATA'!V91, 987231853, RV_DATA!I16:'RV_DATA'!I91), 6)</f>
        <v>1.179854</v>
      </c>
      <c r="E75" s="50">
        <f>ROUND(RV_DATA!K56, 6)</f>
        <v>35483.61</v>
      </c>
      <c r="F75" s="50">
        <f>ROUND(SUMIF(RV_DATA!V16:'RV_DATA'!V91, 987231853, RV_DATA!M16:'RV_DATA'!M91), 6)</f>
        <v>41865.49</v>
      </c>
      <c r="Q75">
        <v>3</v>
      </c>
    </row>
    <row r="76" spans="1:17" ht="28.5" x14ac:dyDescent="0.2">
      <c r="A76" s="49" t="s">
        <v>124</v>
      </c>
      <c r="B76" s="42" t="s">
        <v>125</v>
      </c>
      <c r="C76" s="42" t="s">
        <v>35</v>
      </c>
      <c r="D76" s="43">
        <f>ROUND(SUMIF(RV_DATA!V16:'RV_DATA'!V91, -1801759247, RV_DATA!I16:'RV_DATA'!I91), 6)</f>
        <v>0.7</v>
      </c>
      <c r="E76" s="50">
        <f>ROUND(RV_DATA!K23, 6)</f>
        <v>9014.9</v>
      </c>
      <c r="F76" s="50">
        <f>ROUND(SUMIF(RV_DATA!V16:'RV_DATA'!V91, -1801759247, RV_DATA!M16:'RV_DATA'!M91), 6)</f>
        <v>6310.43</v>
      </c>
      <c r="Q76">
        <v>3</v>
      </c>
    </row>
    <row r="77" spans="1:17" ht="57" x14ac:dyDescent="0.2">
      <c r="A77" s="49" t="s">
        <v>409</v>
      </c>
      <c r="B77" s="42" t="s">
        <v>411</v>
      </c>
      <c r="C77" s="42" t="s">
        <v>155</v>
      </c>
      <c r="D77" s="43">
        <f>ROUND(SUMIF(RV_DATA!V16:'RV_DATA'!V91, 368483730, RV_DATA!I16:'RV_DATA'!I91), 6)</f>
        <v>1.32E-2</v>
      </c>
      <c r="E77" s="50">
        <f>ROUND(RV_DATA!K85, 6)</f>
        <v>75026.559999999998</v>
      </c>
      <c r="F77" s="50">
        <f>ROUND(SUMIF(RV_DATA!V16:'RV_DATA'!V91, 368483730, RV_DATA!M16:'RV_DATA'!M91), 6)</f>
        <v>990.35</v>
      </c>
      <c r="Q77">
        <v>3</v>
      </c>
    </row>
    <row r="78" spans="1:17" ht="57" x14ac:dyDescent="0.2">
      <c r="A78" s="49" t="s">
        <v>526</v>
      </c>
      <c r="B78" s="42" t="s">
        <v>528</v>
      </c>
      <c r="C78" s="42" t="s">
        <v>155</v>
      </c>
      <c r="D78" s="43">
        <f>ROUND(SUMIF(RV_DATA!V16:'RV_DATA'!V91, -1688827510, RV_DATA!I16:'RV_DATA'!I91), 6)</f>
        <v>1.11307</v>
      </c>
      <c r="E78" s="50">
        <f>ROUND(RV_DATA!K66, 6)</f>
        <v>75026.559999999998</v>
      </c>
      <c r="F78" s="50">
        <f>ROUND(SUMIF(RV_DATA!V16:'RV_DATA'!V91, -1688827510, RV_DATA!M16:'RV_DATA'!M91), 6)</f>
        <v>83509.81</v>
      </c>
      <c r="Q78">
        <v>3</v>
      </c>
    </row>
    <row r="79" spans="1:17" ht="28.5" x14ac:dyDescent="0.2">
      <c r="A79" s="49" t="s">
        <v>563</v>
      </c>
      <c r="B79" s="42" t="s">
        <v>565</v>
      </c>
      <c r="C79" s="42" t="s">
        <v>556</v>
      </c>
      <c r="D79" s="43">
        <f>ROUND(SUMIF(RV_DATA!V16:'RV_DATA'!V91, -1907681163, RV_DATA!I16:'RV_DATA'!I91), 6)</f>
        <v>7.7772240000000004</v>
      </c>
      <c r="E79" s="50">
        <f>ROUND(RV_DATA!K74, 6)</f>
        <v>241.19</v>
      </c>
      <c r="F79" s="50">
        <f>ROUND(SUMIF(RV_DATA!V16:'RV_DATA'!V91, -1907681163, RV_DATA!M16:'RV_DATA'!M91), 6)</f>
        <v>1875.79</v>
      </c>
      <c r="Q79">
        <v>3</v>
      </c>
    </row>
    <row r="80" spans="1:17" ht="28.5" x14ac:dyDescent="0.2">
      <c r="A80" s="49" t="s">
        <v>566</v>
      </c>
      <c r="B80" s="42" t="s">
        <v>568</v>
      </c>
      <c r="C80" s="42" t="s">
        <v>121</v>
      </c>
      <c r="D80" s="43">
        <f>ROUND(SUMIF(RV_DATA!V16:'RV_DATA'!V91, 1475264531, RV_DATA!I16:'RV_DATA'!I91), 6)</f>
        <v>68.527884</v>
      </c>
      <c r="E80" s="50">
        <f>ROUND(RV_DATA!K73, 6)</f>
        <v>69.680000000000007</v>
      </c>
      <c r="F80" s="50">
        <f>ROUND(SUMIF(RV_DATA!V16:'RV_DATA'!V91, 1475264531, RV_DATA!M16:'RV_DATA'!M91), 6)</f>
        <v>4775.0200000000004</v>
      </c>
      <c r="Q80">
        <v>3</v>
      </c>
    </row>
    <row r="81" spans="1:17" ht="28.5" x14ac:dyDescent="0.2">
      <c r="A81" s="49" t="s">
        <v>569</v>
      </c>
      <c r="B81" s="42" t="s">
        <v>571</v>
      </c>
      <c r="C81" s="42" t="s">
        <v>121</v>
      </c>
      <c r="D81" s="43">
        <f>ROUND(SUMIF(RV_DATA!V16:'RV_DATA'!V91, -1294930295, RV_DATA!I16:'RV_DATA'!I91), 6)</f>
        <v>68.527884</v>
      </c>
      <c r="E81" s="50">
        <f>ROUND(RV_DATA!K72, 6)</f>
        <v>149.85</v>
      </c>
      <c r="F81" s="50">
        <f>ROUND(SUMIF(RV_DATA!V16:'RV_DATA'!V91, -1294930295, RV_DATA!M16:'RV_DATA'!M91), 6)</f>
        <v>10268.9</v>
      </c>
      <c r="Q81">
        <v>3</v>
      </c>
    </row>
    <row r="82" spans="1:17" ht="15" x14ac:dyDescent="0.25">
      <c r="A82" s="85" t="s">
        <v>778</v>
      </c>
      <c r="B82" s="85"/>
      <c r="C82" s="85"/>
      <c r="D82" s="85"/>
      <c r="E82" s="86">
        <f>SUMIF(Q42:Q81, 3, F42:F81)</f>
        <v>455289.18999999994</v>
      </c>
      <c r="F82" s="86"/>
    </row>
    <row r="83" spans="1:17" ht="16.5" x14ac:dyDescent="0.2">
      <c r="A83" s="76" t="str">
        <f>CONCATENATE("Раздел: ",IF(Source!G156&lt;&gt;"Новый раздел", Source!G156, ""))</f>
        <v>Раздел: Игровые и спортивные площадки</v>
      </c>
      <c r="B83" s="77"/>
      <c r="C83" s="77"/>
      <c r="D83" s="77"/>
      <c r="E83" s="77"/>
      <c r="F83" s="77"/>
    </row>
    <row r="84" spans="1:17" ht="16.5" x14ac:dyDescent="0.2">
      <c r="A84" s="76" t="str">
        <f>CONCATENATE("Подраздел: ",IF(Source!G160&lt;&gt;"Новый подраздел", Source!G160, ""))</f>
        <v>Подраздел: Демонтажные работы</v>
      </c>
      <c r="B84" s="77"/>
      <c r="C84" s="77"/>
      <c r="D84" s="77"/>
      <c r="E84" s="77"/>
      <c r="F84" s="77"/>
    </row>
    <row r="85" spans="1:17" ht="14.25" x14ac:dyDescent="0.2">
      <c r="A85" s="83" t="s">
        <v>775</v>
      </c>
      <c r="B85" s="84"/>
      <c r="C85" s="84"/>
      <c r="D85" s="84"/>
      <c r="E85" s="84"/>
      <c r="F85" s="84"/>
    </row>
    <row r="86" spans="1:17" ht="28.5" x14ac:dyDescent="0.2">
      <c r="A86" s="49" t="s">
        <v>520</v>
      </c>
      <c r="B86" s="42" t="s">
        <v>522</v>
      </c>
      <c r="C86" s="42" t="s">
        <v>393</v>
      </c>
      <c r="D86" s="43">
        <f>ROUND(SUMIF(RV_DATA!V94:'RV_DATA'!V94, 1844315211, RV_DATA!I94:'RV_DATA'!I94), 6)</f>
        <v>8.36</v>
      </c>
      <c r="E86" s="50">
        <f>ROUND(RV_DATA!K94, 6)</f>
        <v>31</v>
      </c>
      <c r="F86" s="50">
        <f>ROUND(SUMIF(RV_DATA!V94:'RV_DATA'!V94, 1844315211, RV_DATA!M94:'RV_DATA'!M94), 6)</f>
        <v>259.16000000000003</v>
      </c>
      <c r="Q86">
        <v>2</v>
      </c>
    </row>
    <row r="87" spans="1:17" ht="15" x14ac:dyDescent="0.25">
      <c r="A87" s="85" t="s">
        <v>776</v>
      </c>
      <c r="B87" s="85"/>
      <c r="C87" s="85"/>
      <c r="D87" s="85"/>
      <c r="E87" s="86">
        <f>SUMIF(Q86:Q86, 2, F86:F86)</f>
        <v>259.16000000000003</v>
      </c>
      <c r="F87" s="86"/>
    </row>
    <row r="88" spans="1:17" ht="16.5" x14ac:dyDescent="0.2">
      <c r="A88" s="76" t="str">
        <f>CONCATENATE("Подраздел: ",IF(Source!G197&lt;&gt;"Новый подраздел", Source!G197, ""))</f>
        <v>Подраздел: Строительные работы</v>
      </c>
      <c r="B88" s="77"/>
      <c r="C88" s="77"/>
      <c r="D88" s="77"/>
      <c r="E88" s="77"/>
      <c r="F88" s="77"/>
    </row>
    <row r="89" spans="1:17" ht="14.25" x14ac:dyDescent="0.2">
      <c r="A89" s="83" t="s">
        <v>775</v>
      </c>
      <c r="B89" s="84"/>
      <c r="C89" s="84"/>
      <c r="D89" s="84"/>
      <c r="E89" s="84"/>
      <c r="F89" s="84"/>
    </row>
    <row r="90" spans="1:17" ht="28.5" x14ac:dyDescent="0.2">
      <c r="A90" s="49" t="s">
        <v>412</v>
      </c>
      <c r="B90" s="42" t="s">
        <v>414</v>
      </c>
      <c r="C90" s="42" t="s">
        <v>393</v>
      </c>
      <c r="D90" s="43">
        <f>ROUND(SUMIF(RV_DATA!V96:'RV_DATA'!V150, 158304140, RV_DATA!I96:'RV_DATA'!I150), 6)</f>
        <v>102.77760000000001</v>
      </c>
      <c r="E90" s="50">
        <f>ROUND(RV_DATA!K97, 6)</f>
        <v>744.2</v>
      </c>
      <c r="F90" s="50">
        <f>ROUND(SUMIF(RV_DATA!V96:'RV_DATA'!V150, 158304140, RV_DATA!M96:'RV_DATA'!M150), 6)</f>
        <v>76487.429999999993</v>
      </c>
      <c r="Q90">
        <v>2</v>
      </c>
    </row>
    <row r="91" spans="1:17" ht="14.25" x14ac:dyDescent="0.2">
      <c r="A91" s="49" t="s">
        <v>441</v>
      </c>
      <c r="B91" s="42" t="s">
        <v>443</v>
      </c>
      <c r="C91" s="42" t="s">
        <v>393</v>
      </c>
      <c r="D91" s="43">
        <f>ROUND(SUMIF(RV_DATA!V96:'RV_DATA'!V150, 1723114365, RV_DATA!I96:'RV_DATA'!I150), 6)</f>
        <v>2.4542999999999999</v>
      </c>
      <c r="E91" s="50">
        <f>ROUND(RV_DATA!K113, 6)</f>
        <v>1977.07</v>
      </c>
      <c r="F91" s="50">
        <f>ROUND(SUMIF(RV_DATA!V96:'RV_DATA'!V150, 1723114365, RV_DATA!M96:'RV_DATA'!M150), 6)</f>
        <v>4852.33</v>
      </c>
      <c r="Q91">
        <v>2</v>
      </c>
    </row>
    <row r="92" spans="1:17" ht="42.75" x14ac:dyDescent="0.2">
      <c r="A92" s="49" t="s">
        <v>453</v>
      </c>
      <c r="B92" s="42" t="s">
        <v>455</v>
      </c>
      <c r="C92" s="42" t="s">
        <v>393</v>
      </c>
      <c r="D92" s="43">
        <f>ROUND(SUMIF(RV_DATA!V96:'RV_DATA'!V150, -1587432455, RV_DATA!I96:'RV_DATA'!I150), 6)</f>
        <v>7.9992000000000001</v>
      </c>
      <c r="E92" s="50">
        <f>ROUND(RV_DATA!K126, 6)</f>
        <v>531.41</v>
      </c>
      <c r="F92" s="50">
        <f>ROUND(SUMIF(RV_DATA!V96:'RV_DATA'!V150, -1587432455, RV_DATA!M96:'RV_DATA'!M150), 6)</f>
        <v>4250.8500000000004</v>
      </c>
      <c r="Q92">
        <v>2</v>
      </c>
    </row>
    <row r="93" spans="1:17" ht="14.25" x14ac:dyDescent="0.2">
      <c r="A93" s="49" t="s">
        <v>420</v>
      </c>
      <c r="B93" s="42" t="s">
        <v>422</v>
      </c>
      <c r="C93" s="42" t="s">
        <v>393</v>
      </c>
      <c r="D93" s="43">
        <f>ROUND(SUMIF(RV_DATA!V96:'RV_DATA'!V150, 456524966, RV_DATA!I96:'RV_DATA'!I150), 6)</f>
        <v>104.8077</v>
      </c>
      <c r="E93" s="50">
        <f>ROUND(RV_DATA!K96, 6)</f>
        <v>3.75</v>
      </c>
      <c r="F93" s="50">
        <f>ROUND(SUMIF(RV_DATA!V96:'RV_DATA'!V150, 456524966, RV_DATA!M96:'RV_DATA'!M150), 6)</f>
        <v>393.45</v>
      </c>
      <c r="Q93">
        <v>2</v>
      </c>
    </row>
    <row r="94" spans="1:17" ht="28.5" x14ac:dyDescent="0.2">
      <c r="A94" s="49" t="s">
        <v>456</v>
      </c>
      <c r="B94" s="42" t="s">
        <v>458</v>
      </c>
      <c r="C94" s="42" t="s">
        <v>393</v>
      </c>
      <c r="D94" s="43">
        <f>ROUND(SUMIF(RV_DATA!V96:'RV_DATA'!V150, -2110789947, RV_DATA!I96:'RV_DATA'!I150), 6)</f>
        <v>3.5754000000000001</v>
      </c>
      <c r="E94" s="50">
        <f>ROUND(RV_DATA!K125, 6)</f>
        <v>7.44</v>
      </c>
      <c r="F94" s="50">
        <f>ROUND(SUMIF(RV_DATA!V96:'RV_DATA'!V150, -2110789947, RV_DATA!M96:'RV_DATA'!M150), 6)</f>
        <v>26.6</v>
      </c>
      <c r="Q94">
        <v>2</v>
      </c>
    </row>
    <row r="95" spans="1:17" ht="28.5" x14ac:dyDescent="0.2">
      <c r="A95" s="49" t="s">
        <v>520</v>
      </c>
      <c r="B95" s="42" t="s">
        <v>522</v>
      </c>
      <c r="C95" s="42" t="s">
        <v>393</v>
      </c>
      <c r="D95" s="43">
        <f>ROUND(SUMIF(RV_DATA!V96:'RV_DATA'!V150, 1844315211, RV_DATA!I96:'RV_DATA'!I150), 6)</f>
        <v>49.4</v>
      </c>
      <c r="E95" s="50">
        <f>ROUND(RV_DATA!K130, 6)</f>
        <v>31</v>
      </c>
      <c r="F95" s="50">
        <f>ROUND(SUMIF(RV_DATA!V96:'RV_DATA'!V150, 1844315211, RV_DATA!M96:'RV_DATA'!M150), 6)</f>
        <v>1531.4</v>
      </c>
      <c r="Q95">
        <v>2</v>
      </c>
    </row>
    <row r="96" spans="1:17" ht="28.5" x14ac:dyDescent="0.2">
      <c r="A96" s="49" t="s">
        <v>459</v>
      </c>
      <c r="B96" s="42" t="s">
        <v>461</v>
      </c>
      <c r="C96" s="42" t="s">
        <v>393</v>
      </c>
      <c r="D96" s="43">
        <f>ROUND(SUMIF(RV_DATA!V96:'RV_DATA'!V150, -878210744, RV_DATA!I96:'RV_DATA'!I150), 6)</f>
        <v>3.0300000000000001E-2</v>
      </c>
      <c r="E96" s="50">
        <f>ROUND(RV_DATA!K124, 6)</f>
        <v>616.73</v>
      </c>
      <c r="F96" s="50">
        <f>ROUND(SUMIF(RV_DATA!V96:'RV_DATA'!V150, -878210744, RV_DATA!M96:'RV_DATA'!M150), 6)</f>
        <v>18.7</v>
      </c>
      <c r="Q96">
        <v>2</v>
      </c>
    </row>
    <row r="97" spans="1:17" ht="28.5" x14ac:dyDescent="0.2">
      <c r="A97" s="49" t="s">
        <v>462</v>
      </c>
      <c r="B97" s="42" t="s">
        <v>464</v>
      </c>
      <c r="C97" s="42" t="s">
        <v>393</v>
      </c>
      <c r="D97" s="43">
        <f>ROUND(SUMIF(RV_DATA!V96:'RV_DATA'!V150, 4389697, RV_DATA!I96:'RV_DATA'!I150), 6)</f>
        <v>7.9992000000000001</v>
      </c>
      <c r="E97" s="50">
        <f>ROUND(RV_DATA!K123, 6)</f>
        <v>454.31</v>
      </c>
      <c r="F97" s="50">
        <f>ROUND(SUMIF(RV_DATA!V96:'RV_DATA'!V150, 4389697, RV_DATA!M96:'RV_DATA'!M150), 6)</f>
        <v>3634.12</v>
      </c>
      <c r="Q97">
        <v>2</v>
      </c>
    </row>
    <row r="98" spans="1:17" ht="15" x14ac:dyDescent="0.25">
      <c r="A98" s="85" t="s">
        <v>776</v>
      </c>
      <c r="B98" s="85"/>
      <c r="C98" s="85"/>
      <c r="D98" s="85"/>
      <c r="E98" s="86">
        <f>SUMIF(Q90:Q97, 2, F90:F97)</f>
        <v>91194.87999999999</v>
      </c>
      <c r="F98" s="86"/>
    </row>
    <row r="99" spans="1:17" ht="14.25" x14ac:dyDescent="0.2">
      <c r="A99" s="83" t="s">
        <v>777</v>
      </c>
      <c r="B99" s="84"/>
      <c r="C99" s="84"/>
      <c r="D99" s="84"/>
      <c r="E99" s="84"/>
      <c r="F99" s="84"/>
    </row>
    <row r="100" spans="1:17" ht="28.5" x14ac:dyDescent="0.2">
      <c r="A100" s="49" t="s">
        <v>523</v>
      </c>
      <c r="B100" s="42" t="s">
        <v>525</v>
      </c>
      <c r="C100" s="42" t="s">
        <v>155</v>
      </c>
      <c r="D100" s="43">
        <f>ROUND(SUMIF(RV_DATA!V96:'RV_DATA'!V150, 442495294, RV_DATA!I96:'RV_DATA'!I150), 6)</f>
        <v>8.5800000000000008E-3</v>
      </c>
      <c r="E100" s="50">
        <f>ROUND(RV_DATA!K129, 6)</f>
        <v>105084.63</v>
      </c>
      <c r="F100" s="50">
        <f>ROUND(SUMIF(RV_DATA!V96:'RV_DATA'!V150, 442495294, RV_DATA!M96:'RV_DATA'!M150), 6)</f>
        <v>901.63</v>
      </c>
      <c r="Q100">
        <v>3</v>
      </c>
    </row>
    <row r="101" spans="1:17" ht="28.5" x14ac:dyDescent="0.2">
      <c r="A101" s="49" t="s">
        <v>423</v>
      </c>
      <c r="B101" s="42" t="s">
        <v>425</v>
      </c>
      <c r="C101" s="42" t="s">
        <v>35</v>
      </c>
      <c r="D101" s="43">
        <f>ROUND(SUMIF(RV_DATA!V96:'RV_DATA'!V150, 496958337, RV_DATA!I96:'RV_DATA'!I150), 6)</f>
        <v>67.872</v>
      </c>
      <c r="E101" s="50">
        <f>ROUND(RV_DATA!K98, 6)</f>
        <v>590.78</v>
      </c>
      <c r="F101" s="50">
        <f>ROUND(SUMIF(RV_DATA!V96:'RV_DATA'!V150, 496958337, RV_DATA!M96:'RV_DATA'!M150), 6)</f>
        <v>40097.199999999997</v>
      </c>
      <c r="Q101">
        <v>3</v>
      </c>
    </row>
    <row r="102" spans="1:17" ht="42.75" x14ac:dyDescent="0.2">
      <c r="A102" s="49" t="s">
        <v>432</v>
      </c>
      <c r="B102" s="42" t="s">
        <v>434</v>
      </c>
      <c r="C102" s="42" t="s">
        <v>35</v>
      </c>
      <c r="D102" s="43">
        <f>ROUND(SUMIF(RV_DATA!V96:'RV_DATA'!V150, 466345056, RV_DATA!I96:'RV_DATA'!I150), 6)</f>
        <v>8.1809999999999992</v>
      </c>
      <c r="E102" s="50">
        <f>ROUND(RV_DATA!K106, 6)</f>
        <v>1436.5</v>
      </c>
      <c r="F102" s="50">
        <f>ROUND(SUMIF(RV_DATA!V96:'RV_DATA'!V150, 466345056, RV_DATA!M96:'RV_DATA'!M150), 6)</f>
        <v>11752.01</v>
      </c>
      <c r="Q102">
        <v>3</v>
      </c>
    </row>
    <row r="103" spans="1:17" ht="42.75" x14ac:dyDescent="0.2">
      <c r="A103" s="49" t="s">
        <v>435</v>
      </c>
      <c r="B103" s="42" t="s">
        <v>437</v>
      </c>
      <c r="C103" s="42" t="s">
        <v>35</v>
      </c>
      <c r="D103" s="43">
        <f>ROUND(SUMIF(RV_DATA!V96:'RV_DATA'!V150, -1287472248, RV_DATA!I96:'RV_DATA'!I150), 6)</f>
        <v>4.0904999999999996</v>
      </c>
      <c r="E103" s="50">
        <f>ROUND(RV_DATA!K105, 6)</f>
        <v>1436.5</v>
      </c>
      <c r="F103" s="50">
        <f>ROUND(SUMIF(RV_DATA!V96:'RV_DATA'!V150, -1287472248, RV_DATA!M96:'RV_DATA'!M150), 6)</f>
        <v>5876.23</v>
      </c>
      <c r="Q103">
        <v>3</v>
      </c>
    </row>
    <row r="104" spans="1:17" ht="42.75" x14ac:dyDescent="0.2">
      <c r="A104" s="49" t="s">
        <v>438</v>
      </c>
      <c r="B104" s="42" t="s">
        <v>440</v>
      </c>
      <c r="C104" s="42" t="s">
        <v>35</v>
      </c>
      <c r="D104" s="43">
        <f>ROUND(SUMIF(RV_DATA!V96:'RV_DATA'!V150, 566866900, RV_DATA!I96:'RV_DATA'!I150), 6)</f>
        <v>45.45</v>
      </c>
      <c r="E104" s="50">
        <f>ROUND(RV_DATA!K104, 6)</f>
        <v>1241</v>
      </c>
      <c r="F104" s="50">
        <f>ROUND(SUMIF(RV_DATA!V96:'RV_DATA'!V150, 566866900, RV_DATA!M96:'RV_DATA'!M150), 6)</f>
        <v>56403.45</v>
      </c>
      <c r="Q104">
        <v>3</v>
      </c>
    </row>
    <row r="105" spans="1:17" ht="42.75" x14ac:dyDescent="0.2">
      <c r="A105" s="49" t="s">
        <v>444</v>
      </c>
      <c r="B105" s="42" t="s">
        <v>446</v>
      </c>
      <c r="C105" s="42" t="s">
        <v>155</v>
      </c>
      <c r="D105" s="43">
        <f>ROUND(SUMIF(RV_DATA!V96:'RV_DATA'!V150, 1595178378, RV_DATA!I96:'RV_DATA'!I150), 6)</f>
        <v>0.20907000000000001</v>
      </c>
      <c r="E105" s="50">
        <f>ROUND(RV_DATA!K111, 6)</f>
        <v>36258.75</v>
      </c>
      <c r="F105" s="50">
        <f>ROUND(SUMIF(RV_DATA!V96:'RV_DATA'!V150, 1595178378, RV_DATA!M96:'RV_DATA'!M150), 6)</f>
        <v>7580.61</v>
      </c>
      <c r="Q105">
        <v>3</v>
      </c>
    </row>
    <row r="106" spans="1:17" ht="42.75" x14ac:dyDescent="0.2">
      <c r="A106" s="49" t="s">
        <v>426</v>
      </c>
      <c r="B106" s="42" t="s">
        <v>428</v>
      </c>
      <c r="C106" s="42" t="s">
        <v>155</v>
      </c>
      <c r="D106" s="43">
        <f>ROUND(SUMIF(RV_DATA!V96:'RV_DATA'!V150, -1263609757, RV_DATA!I96:'RV_DATA'!I150), 6)</f>
        <v>0.71719999999999995</v>
      </c>
      <c r="E106" s="50">
        <f>ROUND(RV_DATA!K102, 6)</f>
        <v>4207.5</v>
      </c>
      <c r="F106" s="50">
        <f>ROUND(SUMIF(RV_DATA!V96:'RV_DATA'!V150, -1263609757, RV_DATA!M96:'RV_DATA'!M150), 6)</f>
        <v>3017.13</v>
      </c>
      <c r="Q106">
        <v>3</v>
      </c>
    </row>
    <row r="107" spans="1:17" ht="28.5" x14ac:dyDescent="0.2">
      <c r="A107" s="49" t="s">
        <v>496</v>
      </c>
      <c r="B107" s="42" t="s">
        <v>498</v>
      </c>
      <c r="C107" s="42" t="s">
        <v>155</v>
      </c>
      <c r="D107" s="43">
        <f>ROUND(SUMIF(RV_DATA!V96:'RV_DATA'!V150, 1991017595, RV_DATA!I96:'RV_DATA'!I150), 6)</f>
        <v>3.64E-3</v>
      </c>
      <c r="E107" s="50">
        <f>ROUND(RV_DATA!K128, 6)</f>
        <v>110781.14</v>
      </c>
      <c r="F107" s="50">
        <f>ROUND(SUMIF(RV_DATA!V96:'RV_DATA'!V150, 1991017595, RV_DATA!M96:'RV_DATA'!M150), 6)</f>
        <v>403.23</v>
      </c>
      <c r="Q107">
        <v>3</v>
      </c>
    </row>
    <row r="108" spans="1:17" ht="28.5" x14ac:dyDescent="0.2">
      <c r="A108" s="49" t="s">
        <v>465</v>
      </c>
      <c r="B108" s="42" t="s">
        <v>467</v>
      </c>
      <c r="C108" s="42" t="s">
        <v>289</v>
      </c>
      <c r="D108" s="43">
        <f>ROUND(SUMIF(RV_DATA!V96:'RV_DATA'!V150, 657210226, RV_DATA!I96:'RV_DATA'!I150), 6)</f>
        <v>16.968</v>
      </c>
      <c r="E108" s="50">
        <f>ROUND(RV_DATA!K122, 6)</f>
        <v>12.02</v>
      </c>
      <c r="F108" s="50">
        <f>ROUND(SUMIF(RV_DATA!V96:'RV_DATA'!V150, 657210226, RV_DATA!M96:'RV_DATA'!M150), 6)</f>
        <v>203.95</v>
      </c>
      <c r="Q108">
        <v>3</v>
      </c>
    </row>
    <row r="109" spans="1:17" ht="14.25" x14ac:dyDescent="0.2">
      <c r="A109" s="49" t="s">
        <v>468</v>
      </c>
      <c r="B109" s="42" t="s">
        <v>470</v>
      </c>
      <c r="C109" s="42" t="s">
        <v>155</v>
      </c>
      <c r="D109" s="43">
        <f>ROUND(SUMIF(RV_DATA!V96:'RV_DATA'!V150, -588394673, RV_DATA!I96:'RV_DATA'!I150), 6)</f>
        <v>9.5449999999999997E-3</v>
      </c>
      <c r="E109" s="50">
        <f>ROUND(RV_DATA!K121, 6)</f>
        <v>343020.03</v>
      </c>
      <c r="F109" s="50">
        <f>ROUND(SUMIF(RV_DATA!V96:'RV_DATA'!V150, -588394673, RV_DATA!M96:'RV_DATA'!M150), 6)</f>
        <v>3273.95</v>
      </c>
      <c r="Q109">
        <v>3</v>
      </c>
    </row>
    <row r="110" spans="1:17" ht="28.5" x14ac:dyDescent="0.2">
      <c r="A110" s="49" t="s">
        <v>471</v>
      </c>
      <c r="B110" s="42" t="s">
        <v>473</v>
      </c>
      <c r="C110" s="42" t="s">
        <v>474</v>
      </c>
      <c r="D110" s="43">
        <f>ROUND(SUMIF(RV_DATA!V96:'RV_DATA'!V150, -735317913, RV_DATA!I96:'RV_DATA'!I150), 6)</f>
        <v>2227.0500000000002</v>
      </c>
      <c r="E110" s="50">
        <f>ROUND(RV_DATA!K120, 6)</f>
        <v>17.77</v>
      </c>
      <c r="F110" s="50">
        <f>ROUND(SUMIF(RV_DATA!V96:'RV_DATA'!V150, -735317913, RV_DATA!M96:'RV_DATA'!M150), 6)</f>
        <v>39574.68</v>
      </c>
      <c r="Q110">
        <v>3</v>
      </c>
    </row>
    <row r="111" spans="1:17" ht="57" x14ac:dyDescent="0.2">
      <c r="A111" s="49" t="s">
        <v>475</v>
      </c>
      <c r="B111" s="42" t="s">
        <v>477</v>
      </c>
      <c r="C111" s="42" t="s">
        <v>474</v>
      </c>
      <c r="D111" s="43">
        <f>ROUND(SUMIF(RV_DATA!V96:'RV_DATA'!V150, 2130616076, RV_DATA!I96:'RV_DATA'!I150), 6)</f>
        <v>731.745</v>
      </c>
      <c r="E111" s="50">
        <f>ROUND(RV_DATA!K119, 6)</f>
        <v>202.34</v>
      </c>
      <c r="F111" s="50">
        <f>ROUND(SUMIF(RV_DATA!V96:'RV_DATA'!V150, 2130616076, RV_DATA!M96:'RV_DATA'!M150), 6)</f>
        <v>148061.28</v>
      </c>
      <c r="Q111">
        <v>3</v>
      </c>
    </row>
    <row r="112" spans="1:17" ht="28.5" x14ac:dyDescent="0.2">
      <c r="A112" s="49" t="s">
        <v>478</v>
      </c>
      <c r="B112" s="42" t="s">
        <v>480</v>
      </c>
      <c r="C112" s="42" t="s">
        <v>155</v>
      </c>
      <c r="D112" s="43">
        <f>ROUND(SUMIF(RV_DATA!V96:'RV_DATA'!V150, -308535249, RV_DATA!I96:'RV_DATA'!I150), 6)</f>
        <v>0.15907499999999999</v>
      </c>
      <c r="E112" s="50">
        <f>ROUND(RV_DATA!K118, 6)</f>
        <v>748299.67</v>
      </c>
      <c r="F112" s="50">
        <f>ROUND(SUMIF(RV_DATA!V96:'RV_DATA'!V150, -308535249, RV_DATA!M96:'RV_DATA'!M150), 6)</f>
        <v>119035.76</v>
      </c>
      <c r="Q112">
        <v>3</v>
      </c>
    </row>
    <row r="113" spans="1:17" ht="42.75" x14ac:dyDescent="0.2">
      <c r="A113" s="49" t="s">
        <v>447</v>
      </c>
      <c r="B113" s="42" t="s">
        <v>449</v>
      </c>
      <c r="C113" s="42" t="s">
        <v>35</v>
      </c>
      <c r="D113" s="43">
        <f>ROUND(SUMIF(RV_DATA!V96:'RV_DATA'!V150, 1332636129, RV_DATA!I96:'RV_DATA'!I150), 6)</f>
        <v>3.0300000000000001E-2</v>
      </c>
      <c r="E113" s="50">
        <f>ROUND(RV_DATA!K110, 6)</f>
        <v>7064.05</v>
      </c>
      <c r="F113" s="50">
        <f>ROUND(SUMIF(RV_DATA!V96:'RV_DATA'!V150, 1332636129, RV_DATA!M96:'RV_DATA'!M150), 6)</f>
        <v>214.04</v>
      </c>
      <c r="Q113">
        <v>3</v>
      </c>
    </row>
    <row r="114" spans="1:17" ht="57" x14ac:dyDescent="0.2">
      <c r="A114" s="49" t="s">
        <v>429</v>
      </c>
      <c r="B114" s="42" t="s">
        <v>431</v>
      </c>
      <c r="C114" s="42" t="s">
        <v>35</v>
      </c>
      <c r="D114" s="43">
        <f>ROUND(SUMIF(RV_DATA!V96:'RV_DATA'!V150, -887866689, RV_DATA!I96:'RV_DATA'!I150), 6)</f>
        <v>12.388</v>
      </c>
      <c r="E114" s="50">
        <f>ROUND(RV_DATA!K101, 6)</f>
        <v>3714.73</v>
      </c>
      <c r="F114" s="50">
        <f>ROUND(SUMIF(RV_DATA!V96:'RV_DATA'!V150, -887866689, RV_DATA!M96:'RV_DATA'!M150), 6)</f>
        <v>46018.16</v>
      </c>
      <c r="Q114">
        <v>3</v>
      </c>
    </row>
    <row r="115" spans="1:17" ht="42.75" x14ac:dyDescent="0.2">
      <c r="A115" s="49" t="s">
        <v>450</v>
      </c>
      <c r="B115" s="42" t="s">
        <v>452</v>
      </c>
      <c r="C115" s="42" t="s">
        <v>155</v>
      </c>
      <c r="D115" s="43">
        <f>ROUND(SUMIF(RV_DATA!V96:'RV_DATA'!V150, 1846978656, RV_DATA!I96:'RV_DATA'!I150), 6)</f>
        <v>21.058499999999999</v>
      </c>
      <c r="E115" s="50">
        <f>ROUND(RV_DATA!K109, 6)</f>
        <v>2562.79</v>
      </c>
      <c r="F115" s="50">
        <f>ROUND(SUMIF(RV_DATA!V96:'RV_DATA'!V150, 1846978656, RV_DATA!M96:'RV_DATA'!M150), 6)</f>
        <v>53968.52</v>
      </c>
      <c r="Q115">
        <v>3</v>
      </c>
    </row>
    <row r="116" spans="1:17" ht="28.5" x14ac:dyDescent="0.2">
      <c r="A116" s="49" t="s">
        <v>124</v>
      </c>
      <c r="B116" s="42" t="s">
        <v>125</v>
      </c>
      <c r="C116" s="42" t="s">
        <v>35</v>
      </c>
      <c r="D116" s="43">
        <f>ROUND(SUMIF(RV_DATA!V96:'RV_DATA'!V150, -1801759247, RV_DATA!I96:'RV_DATA'!I150), 6)</f>
        <v>1.63</v>
      </c>
      <c r="E116" s="50">
        <f>ROUND(RV_DATA!K103, 6)</f>
        <v>9014.9</v>
      </c>
      <c r="F116" s="50">
        <f>ROUND(SUMIF(RV_DATA!V96:'RV_DATA'!V150, -1801759247, RV_DATA!M96:'RV_DATA'!M150), 6)</f>
        <v>14694.29</v>
      </c>
      <c r="Q116">
        <v>3</v>
      </c>
    </row>
    <row r="117" spans="1:17" ht="57" x14ac:dyDescent="0.2">
      <c r="A117" s="49" t="s">
        <v>526</v>
      </c>
      <c r="B117" s="42" t="s">
        <v>528</v>
      </c>
      <c r="C117" s="42" t="s">
        <v>155</v>
      </c>
      <c r="D117" s="43">
        <f>ROUND(SUMIF(RV_DATA!V96:'RV_DATA'!V150, -1688827510, RV_DATA!I96:'RV_DATA'!I150), 6)</f>
        <v>2.6</v>
      </c>
      <c r="E117" s="50">
        <f>ROUND(RV_DATA!K127, 6)</f>
        <v>75026.559999999998</v>
      </c>
      <c r="F117" s="50">
        <f>ROUND(SUMIF(RV_DATA!V96:'RV_DATA'!V150, -1688827510, RV_DATA!M96:'RV_DATA'!M150), 6)</f>
        <v>195069.06</v>
      </c>
      <c r="Q117">
        <v>3</v>
      </c>
    </row>
    <row r="118" spans="1:17" ht="28.5" x14ac:dyDescent="0.2">
      <c r="A118" s="49" t="s">
        <v>196</v>
      </c>
      <c r="B118" s="42" t="s">
        <v>197</v>
      </c>
      <c r="C118" s="42" t="s">
        <v>198</v>
      </c>
      <c r="D118" s="43">
        <f>ROUND(SUMIF(RV_DATA!V96:'RV_DATA'!V150, -1429118473, RV_DATA!I96:'RV_DATA'!I150), 6)</f>
        <v>4</v>
      </c>
      <c r="E118" s="50">
        <f>ROUND(RV_DATA!K131, 6)</f>
        <v>12083.33</v>
      </c>
      <c r="F118" s="50">
        <f>ROUND(SUMIF(RV_DATA!V96:'RV_DATA'!V150, -1429118473, RV_DATA!M96:'RV_DATA'!M150), 6)</f>
        <v>48333.32</v>
      </c>
      <c r="Q118">
        <v>3</v>
      </c>
    </row>
    <row r="119" spans="1:17" ht="28.5" x14ac:dyDescent="0.2">
      <c r="A119" s="49" t="s">
        <v>196</v>
      </c>
      <c r="B119" s="42" t="s">
        <v>202</v>
      </c>
      <c r="C119" s="42" t="s">
        <v>198</v>
      </c>
      <c r="D119" s="43">
        <f>ROUND(SUMIF(RV_DATA!V96:'RV_DATA'!V150, 1274486699, RV_DATA!I96:'RV_DATA'!I150), 6)</f>
        <v>1</v>
      </c>
      <c r="E119" s="50">
        <f>ROUND(RV_DATA!K132, 6)</f>
        <v>97708.33</v>
      </c>
      <c r="F119" s="50">
        <f>ROUND(SUMIF(RV_DATA!V96:'RV_DATA'!V150, 1274486699, RV_DATA!M96:'RV_DATA'!M150), 6)</f>
        <v>97708.33</v>
      </c>
      <c r="Q119">
        <v>3</v>
      </c>
    </row>
    <row r="120" spans="1:17" ht="28.5" x14ac:dyDescent="0.2">
      <c r="A120" s="49" t="s">
        <v>196</v>
      </c>
      <c r="B120" s="42" t="s">
        <v>205</v>
      </c>
      <c r="C120" s="42" t="s">
        <v>198</v>
      </c>
      <c r="D120" s="43">
        <f>ROUND(SUMIF(RV_DATA!V96:'RV_DATA'!V150, -700197268, RV_DATA!I96:'RV_DATA'!I150), 6)</f>
        <v>1</v>
      </c>
      <c r="E120" s="50">
        <f>ROUND(RV_DATA!K133, 6)</f>
        <v>7083.33</v>
      </c>
      <c r="F120" s="50">
        <f>ROUND(SUMIF(RV_DATA!V96:'RV_DATA'!V150, -700197268, RV_DATA!M96:'RV_DATA'!M150), 6)</f>
        <v>7083.33</v>
      </c>
      <c r="Q120">
        <v>3</v>
      </c>
    </row>
    <row r="121" spans="1:17" ht="28.5" x14ac:dyDescent="0.2">
      <c r="A121" s="49" t="s">
        <v>196</v>
      </c>
      <c r="B121" s="42" t="s">
        <v>208</v>
      </c>
      <c r="C121" s="42" t="s">
        <v>198</v>
      </c>
      <c r="D121" s="43">
        <f>ROUND(SUMIF(RV_DATA!V96:'RV_DATA'!V150, 100200162, RV_DATA!I96:'RV_DATA'!I150), 6)</f>
        <v>2</v>
      </c>
      <c r="E121" s="50">
        <f>ROUND(RV_DATA!K134, 6)</f>
        <v>29291.67</v>
      </c>
      <c r="F121" s="50">
        <f>ROUND(SUMIF(RV_DATA!V96:'RV_DATA'!V150, 100200162, RV_DATA!M96:'RV_DATA'!M150), 6)</f>
        <v>58583.34</v>
      </c>
      <c r="Q121">
        <v>3</v>
      </c>
    </row>
    <row r="122" spans="1:17" ht="28.5" x14ac:dyDescent="0.2">
      <c r="A122" s="49" t="s">
        <v>196</v>
      </c>
      <c r="B122" s="42" t="s">
        <v>211</v>
      </c>
      <c r="C122" s="42" t="s">
        <v>198</v>
      </c>
      <c r="D122" s="43">
        <f>ROUND(SUMIF(RV_DATA!V96:'RV_DATA'!V150, -1814062464, RV_DATA!I96:'RV_DATA'!I150), 6)</f>
        <v>1</v>
      </c>
      <c r="E122" s="50">
        <f>ROUND(RV_DATA!K135, 6)</f>
        <v>15000</v>
      </c>
      <c r="F122" s="50">
        <f>ROUND(SUMIF(RV_DATA!V96:'RV_DATA'!V150, -1814062464, RV_DATA!M96:'RV_DATA'!M150), 6)</f>
        <v>15000</v>
      </c>
      <c r="Q122">
        <v>3</v>
      </c>
    </row>
    <row r="123" spans="1:17" ht="28.5" x14ac:dyDescent="0.2">
      <c r="A123" s="49" t="s">
        <v>196</v>
      </c>
      <c r="B123" s="42" t="s">
        <v>214</v>
      </c>
      <c r="C123" s="42" t="s">
        <v>198</v>
      </c>
      <c r="D123" s="43">
        <f>ROUND(SUMIF(RV_DATA!V96:'RV_DATA'!V150, 1643594399, RV_DATA!I96:'RV_DATA'!I150), 6)</f>
        <v>1</v>
      </c>
      <c r="E123" s="50">
        <f>ROUND(RV_DATA!K136, 6)</f>
        <v>15000</v>
      </c>
      <c r="F123" s="50">
        <f>ROUND(SUMIF(RV_DATA!V96:'RV_DATA'!V150, 1643594399, RV_DATA!M96:'RV_DATA'!M150), 6)</f>
        <v>15000</v>
      </c>
      <c r="Q123">
        <v>3</v>
      </c>
    </row>
    <row r="124" spans="1:17" ht="28.5" x14ac:dyDescent="0.2">
      <c r="A124" s="49" t="s">
        <v>196</v>
      </c>
      <c r="B124" s="42" t="s">
        <v>216</v>
      </c>
      <c r="C124" s="42" t="s">
        <v>198</v>
      </c>
      <c r="D124" s="43">
        <f>ROUND(SUMIF(RV_DATA!V96:'RV_DATA'!V150, 946830125, RV_DATA!I96:'RV_DATA'!I150), 6)</f>
        <v>1</v>
      </c>
      <c r="E124" s="50">
        <f>ROUND(RV_DATA!K137, 6)</f>
        <v>15750</v>
      </c>
      <c r="F124" s="50">
        <f>ROUND(SUMIF(RV_DATA!V96:'RV_DATA'!V150, 946830125, RV_DATA!M96:'RV_DATA'!M150), 6)</f>
        <v>15750</v>
      </c>
      <c r="Q124">
        <v>3</v>
      </c>
    </row>
    <row r="125" spans="1:17" ht="28.5" x14ac:dyDescent="0.2">
      <c r="A125" s="49" t="s">
        <v>196</v>
      </c>
      <c r="B125" s="42" t="s">
        <v>219</v>
      </c>
      <c r="C125" s="42" t="s">
        <v>198</v>
      </c>
      <c r="D125" s="43">
        <f>ROUND(SUMIF(RV_DATA!V96:'RV_DATA'!V150, 1533381920, RV_DATA!I96:'RV_DATA'!I150), 6)</f>
        <v>1</v>
      </c>
      <c r="E125" s="50">
        <f>ROUND(RV_DATA!K138, 6)</f>
        <v>23750</v>
      </c>
      <c r="F125" s="50">
        <f>ROUND(SUMIF(RV_DATA!V96:'RV_DATA'!V150, 1533381920, RV_DATA!M96:'RV_DATA'!M150), 6)</f>
        <v>23750</v>
      </c>
      <c r="Q125">
        <v>3</v>
      </c>
    </row>
    <row r="126" spans="1:17" ht="28.5" x14ac:dyDescent="0.2">
      <c r="A126" s="49" t="s">
        <v>196</v>
      </c>
      <c r="B126" s="42" t="s">
        <v>222</v>
      </c>
      <c r="C126" s="42" t="s">
        <v>198</v>
      </c>
      <c r="D126" s="43">
        <f>ROUND(SUMIF(RV_DATA!V96:'RV_DATA'!V150, -1730417862, RV_DATA!I96:'RV_DATA'!I150), 6)</f>
        <v>1</v>
      </c>
      <c r="E126" s="50">
        <f>ROUND(RV_DATA!K139, 6)</f>
        <v>10375</v>
      </c>
      <c r="F126" s="50">
        <f>ROUND(SUMIF(RV_DATA!V96:'RV_DATA'!V150, -1730417862, RV_DATA!M96:'RV_DATA'!M150), 6)</f>
        <v>10375</v>
      </c>
      <c r="Q126">
        <v>3</v>
      </c>
    </row>
    <row r="127" spans="1:17" ht="28.5" x14ac:dyDescent="0.2">
      <c r="A127" s="49" t="s">
        <v>196</v>
      </c>
      <c r="B127" s="42" t="s">
        <v>225</v>
      </c>
      <c r="C127" s="42" t="s">
        <v>198</v>
      </c>
      <c r="D127" s="43">
        <f>ROUND(SUMIF(RV_DATA!V96:'RV_DATA'!V150, 1997698167, RV_DATA!I96:'RV_DATA'!I150), 6)</f>
        <v>1</v>
      </c>
      <c r="E127" s="50">
        <f>ROUND(RV_DATA!K140, 6)</f>
        <v>10375</v>
      </c>
      <c r="F127" s="50">
        <f>ROUND(SUMIF(RV_DATA!V96:'RV_DATA'!V150, 1997698167, RV_DATA!M96:'RV_DATA'!M150), 6)</f>
        <v>10375</v>
      </c>
      <c r="Q127">
        <v>3</v>
      </c>
    </row>
    <row r="128" spans="1:17" ht="28.5" x14ac:dyDescent="0.2">
      <c r="A128" s="49" t="s">
        <v>196</v>
      </c>
      <c r="B128" s="42" t="s">
        <v>227</v>
      </c>
      <c r="C128" s="42" t="s">
        <v>198</v>
      </c>
      <c r="D128" s="43">
        <f>ROUND(SUMIF(RV_DATA!V96:'RV_DATA'!V150, -1002898437, RV_DATA!I96:'RV_DATA'!I150), 6)</f>
        <v>1</v>
      </c>
      <c r="E128" s="50">
        <f>ROUND(RV_DATA!K141, 6)</f>
        <v>6208.33</v>
      </c>
      <c r="F128" s="50">
        <f>ROUND(SUMIF(RV_DATA!V96:'RV_DATA'!V150, -1002898437, RV_DATA!M96:'RV_DATA'!M150), 6)</f>
        <v>6208.33</v>
      </c>
      <c r="Q128">
        <v>3</v>
      </c>
    </row>
    <row r="129" spans="1:17" ht="28.5" x14ac:dyDescent="0.2">
      <c r="A129" s="49" t="s">
        <v>196</v>
      </c>
      <c r="B129" s="42" t="s">
        <v>230</v>
      </c>
      <c r="C129" s="42" t="s">
        <v>198</v>
      </c>
      <c r="D129" s="43">
        <f>ROUND(SUMIF(RV_DATA!V96:'RV_DATA'!V150, -1768255661, RV_DATA!I96:'RV_DATA'!I150), 6)</f>
        <v>1</v>
      </c>
      <c r="E129" s="50">
        <f>ROUND(RV_DATA!K142, 6)</f>
        <v>6208.33</v>
      </c>
      <c r="F129" s="50">
        <f>ROUND(SUMIF(RV_DATA!V96:'RV_DATA'!V150, -1768255661, RV_DATA!M96:'RV_DATA'!M150), 6)</f>
        <v>6208.33</v>
      </c>
      <c r="Q129">
        <v>3</v>
      </c>
    </row>
    <row r="130" spans="1:17" ht="28.5" x14ac:dyDescent="0.2">
      <c r="A130" s="49" t="s">
        <v>196</v>
      </c>
      <c r="B130" s="42" t="s">
        <v>232</v>
      </c>
      <c r="C130" s="42" t="s">
        <v>198</v>
      </c>
      <c r="D130" s="43">
        <f>ROUND(SUMIF(RV_DATA!V96:'RV_DATA'!V150, 1086559830, RV_DATA!I96:'RV_DATA'!I150), 6)</f>
        <v>4</v>
      </c>
      <c r="E130" s="50">
        <f>ROUND(RV_DATA!K143, 6)</f>
        <v>10625</v>
      </c>
      <c r="F130" s="50">
        <f>ROUND(SUMIF(RV_DATA!V96:'RV_DATA'!V150, 1086559830, RV_DATA!M96:'RV_DATA'!M150), 6)</f>
        <v>42500</v>
      </c>
      <c r="Q130">
        <v>3</v>
      </c>
    </row>
    <row r="131" spans="1:17" ht="28.5" x14ac:dyDescent="0.2">
      <c r="A131" s="49" t="s">
        <v>196</v>
      </c>
      <c r="B131" s="42" t="s">
        <v>235</v>
      </c>
      <c r="C131" s="42" t="s">
        <v>198</v>
      </c>
      <c r="D131" s="43">
        <f>ROUND(SUMIF(RV_DATA!V96:'RV_DATA'!V150, -2056538113, RV_DATA!I96:'RV_DATA'!I150), 6)</f>
        <v>1</v>
      </c>
      <c r="E131" s="50">
        <f>ROUND(RV_DATA!K144, 6)</f>
        <v>33250</v>
      </c>
      <c r="F131" s="50">
        <f>ROUND(SUMIF(RV_DATA!V96:'RV_DATA'!V150, -2056538113, RV_DATA!M96:'RV_DATA'!M150), 6)</f>
        <v>33250</v>
      </c>
      <c r="Q131">
        <v>3</v>
      </c>
    </row>
    <row r="132" spans="1:17" ht="28.5" x14ac:dyDescent="0.2">
      <c r="A132" s="49" t="s">
        <v>196</v>
      </c>
      <c r="B132" s="42" t="s">
        <v>238</v>
      </c>
      <c r="C132" s="42" t="s">
        <v>198</v>
      </c>
      <c r="D132" s="43">
        <f>ROUND(SUMIF(RV_DATA!V96:'RV_DATA'!V150, -444119780, RV_DATA!I96:'RV_DATA'!I150), 6)</f>
        <v>1</v>
      </c>
      <c r="E132" s="50">
        <f>ROUND(RV_DATA!K145, 6)</f>
        <v>29916.67</v>
      </c>
      <c r="F132" s="50">
        <f>ROUND(SUMIF(RV_DATA!V96:'RV_DATA'!V150, -444119780, RV_DATA!M96:'RV_DATA'!M150), 6)</f>
        <v>29916.67</v>
      </c>
      <c r="Q132">
        <v>3</v>
      </c>
    </row>
    <row r="133" spans="1:17" ht="28.5" x14ac:dyDescent="0.2">
      <c r="A133" s="49" t="s">
        <v>196</v>
      </c>
      <c r="B133" s="42" t="s">
        <v>241</v>
      </c>
      <c r="C133" s="42" t="s">
        <v>198</v>
      </c>
      <c r="D133" s="43">
        <f>ROUND(SUMIF(RV_DATA!V96:'RV_DATA'!V150, -1381604339, RV_DATA!I96:'RV_DATA'!I150), 6)</f>
        <v>1</v>
      </c>
      <c r="E133" s="50">
        <f>ROUND(RV_DATA!K146, 6)</f>
        <v>33125</v>
      </c>
      <c r="F133" s="50">
        <f>ROUND(SUMIF(RV_DATA!V96:'RV_DATA'!V150, -1381604339, RV_DATA!M96:'RV_DATA'!M150), 6)</f>
        <v>33125</v>
      </c>
      <c r="Q133">
        <v>3</v>
      </c>
    </row>
    <row r="134" spans="1:17" ht="28.5" x14ac:dyDescent="0.2">
      <c r="A134" s="49" t="s">
        <v>196</v>
      </c>
      <c r="B134" s="42" t="s">
        <v>244</v>
      </c>
      <c r="C134" s="42" t="s">
        <v>198</v>
      </c>
      <c r="D134" s="43">
        <f>ROUND(SUMIF(RV_DATA!V96:'RV_DATA'!V150, 967307533, RV_DATA!I96:'RV_DATA'!I150), 6)</f>
        <v>1</v>
      </c>
      <c r="E134" s="50">
        <f>ROUND(RV_DATA!K147, 6)</f>
        <v>28541.67</v>
      </c>
      <c r="F134" s="50">
        <f>ROUND(SUMIF(RV_DATA!V96:'RV_DATA'!V150, 967307533, RV_DATA!M96:'RV_DATA'!M150), 6)</f>
        <v>28541.67</v>
      </c>
      <c r="Q134">
        <v>3</v>
      </c>
    </row>
    <row r="135" spans="1:17" ht="28.5" x14ac:dyDescent="0.2">
      <c r="A135" s="49" t="s">
        <v>196</v>
      </c>
      <c r="B135" s="42" t="s">
        <v>247</v>
      </c>
      <c r="C135" s="42" t="s">
        <v>198</v>
      </c>
      <c r="D135" s="43">
        <f>ROUND(SUMIF(RV_DATA!V96:'RV_DATA'!V150, -1507219202, RV_DATA!I96:'RV_DATA'!I150), 6)</f>
        <v>1</v>
      </c>
      <c r="E135" s="50">
        <f>ROUND(RV_DATA!K148, 6)</f>
        <v>10416.67</v>
      </c>
      <c r="F135" s="50">
        <f>ROUND(SUMIF(RV_DATA!V96:'RV_DATA'!V150, -1507219202, RV_DATA!M96:'RV_DATA'!M150), 6)</f>
        <v>10416.67</v>
      </c>
      <c r="Q135">
        <v>3</v>
      </c>
    </row>
    <row r="136" spans="1:17" ht="28.5" x14ac:dyDescent="0.2">
      <c r="A136" s="49" t="s">
        <v>196</v>
      </c>
      <c r="B136" s="42" t="s">
        <v>250</v>
      </c>
      <c r="C136" s="42" t="s">
        <v>198</v>
      </c>
      <c r="D136" s="43">
        <f>ROUND(SUMIF(RV_DATA!V96:'RV_DATA'!V150, 1254595323, RV_DATA!I96:'RV_DATA'!I150), 6)</f>
        <v>1</v>
      </c>
      <c r="E136" s="50">
        <f>ROUND(RV_DATA!K149, 6)</f>
        <v>10416.67</v>
      </c>
      <c r="F136" s="50">
        <f>ROUND(SUMIF(RV_DATA!V96:'RV_DATA'!V150, 1254595323, RV_DATA!M96:'RV_DATA'!M150), 6)</f>
        <v>10416.67</v>
      </c>
      <c r="Q136">
        <v>3</v>
      </c>
    </row>
    <row r="137" spans="1:17" ht="28.5" x14ac:dyDescent="0.2">
      <c r="A137" s="49" t="s">
        <v>196</v>
      </c>
      <c r="B137" s="42" t="s">
        <v>252</v>
      </c>
      <c r="C137" s="42" t="s">
        <v>198</v>
      </c>
      <c r="D137" s="43">
        <f>ROUND(SUMIF(RV_DATA!V96:'RV_DATA'!V150, -247252093, RV_DATA!I96:'RV_DATA'!I150), 6)</f>
        <v>2</v>
      </c>
      <c r="E137" s="50">
        <f>ROUND(RV_DATA!K150, 6)</f>
        <v>11458.33</v>
      </c>
      <c r="F137" s="50">
        <f>ROUND(SUMIF(RV_DATA!V96:'RV_DATA'!V150, -247252093, RV_DATA!M96:'RV_DATA'!M150), 6)</f>
        <v>22916.66</v>
      </c>
      <c r="Q137">
        <v>3</v>
      </c>
    </row>
    <row r="138" spans="1:17" ht="15" x14ac:dyDescent="0.25">
      <c r="A138" s="85" t="s">
        <v>778</v>
      </c>
      <c r="B138" s="85"/>
      <c r="C138" s="85"/>
      <c r="D138" s="85"/>
      <c r="E138" s="86">
        <f>SUMIF(Q100:Q137, 3, F100:F137)</f>
        <v>1271603.4999999995</v>
      </c>
      <c r="F138" s="86"/>
    </row>
    <row r="139" spans="1:17" ht="16.5" x14ac:dyDescent="0.2">
      <c r="A139" s="76" t="str">
        <f>CONCATENATE("Раздел: ",IF(Source!G292&lt;&gt;"Новый раздел", Source!G292, ""))</f>
        <v>Раздел: Контейнерная площадка</v>
      </c>
      <c r="B139" s="77"/>
      <c r="C139" s="77"/>
      <c r="D139" s="77"/>
      <c r="E139" s="77"/>
      <c r="F139" s="77"/>
    </row>
    <row r="140" spans="1:17" ht="16.5" x14ac:dyDescent="0.2">
      <c r="A140" s="76" t="str">
        <f>CONCATENATE("Подраздел: ",IF(Source!G296&lt;&gt;"Новый подраздел", Source!G296, ""))</f>
        <v>Подраздел: Демонтажные работы</v>
      </c>
      <c r="B140" s="77"/>
      <c r="C140" s="77"/>
      <c r="D140" s="77"/>
      <c r="E140" s="77"/>
      <c r="F140" s="77"/>
    </row>
    <row r="141" spans="1:17" ht="14.25" x14ac:dyDescent="0.2">
      <c r="A141" s="83" t="s">
        <v>775</v>
      </c>
      <c r="B141" s="84"/>
      <c r="C141" s="84"/>
      <c r="D141" s="84"/>
      <c r="E141" s="84"/>
      <c r="F141" s="84"/>
    </row>
    <row r="142" spans="1:17" ht="57" x14ac:dyDescent="0.2">
      <c r="A142" s="49" t="s">
        <v>390</v>
      </c>
      <c r="B142" s="42" t="s">
        <v>392</v>
      </c>
      <c r="C142" s="42" t="s">
        <v>393</v>
      </c>
      <c r="D142" s="43">
        <f>ROUND(SUMIF(RV_DATA!V153:'RV_DATA'!V157, 953863627, RV_DATA!I153:'RV_DATA'!I157), 6)</f>
        <v>2.9999999999999997E-4</v>
      </c>
      <c r="E142" s="50">
        <f>ROUND(RV_DATA!K156, 6)</f>
        <v>41.19</v>
      </c>
      <c r="F142" s="50">
        <f>ROUND(SUMIF(RV_DATA!V153:'RV_DATA'!V157, 953863627, RV_DATA!M153:'RV_DATA'!M157), 6)</f>
        <v>0.01</v>
      </c>
      <c r="Q142">
        <v>2</v>
      </c>
    </row>
    <row r="143" spans="1:17" ht="28.5" x14ac:dyDescent="0.2">
      <c r="A143" s="49" t="s">
        <v>394</v>
      </c>
      <c r="B143" s="42" t="s">
        <v>396</v>
      </c>
      <c r="C143" s="42" t="s">
        <v>393</v>
      </c>
      <c r="D143" s="43">
        <f>ROUND(SUMIF(RV_DATA!V153:'RV_DATA'!V157, 222750254, RV_DATA!I153:'RV_DATA'!I157), 6)</f>
        <v>3.0000000000000001E-3</v>
      </c>
      <c r="E143" s="50">
        <f>ROUND(RV_DATA!K155, 6)</f>
        <v>27.02</v>
      </c>
      <c r="F143" s="50">
        <f>ROUND(SUMIF(RV_DATA!V153:'RV_DATA'!V157, 222750254, RV_DATA!M153:'RV_DATA'!M157), 6)</f>
        <v>0.08</v>
      </c>
      <c r="Q143">
        <v>2</v>
      </c>
    </row>
    <row r="144" spans="1:17" ht="28.5" x14ac:dyDescent="0.2">
      <c r="A144" s="49" t="s">
        <v>397</v>
      </c>
      <c r="B144" s="42" t="s">
        <v>399</v>
      </c>
      <c r="C144" s="42" t="s">
        <v>393</v>
      </c>
      <c r="D144" s="43">
        <f>ROUND(SUMIF(RV_DATA!V153:'RV_DATA'!V157, -1065957140, RV_DATA!I153:'RV_DATA'!I157), 6)</f>
        <v>4.5150000000000003E-2</v>
      </c>
      <c r="E144" s="50">
        <f>ROUND(RV_DATA!K154, 6)</f>
        <v>4.71</v>
      </c>
      <c r="F144" s="50">
        <f>ROUND(SUMIF(RV_DATA!V153:'RV_DATA'!V157, -1065957140, RV_DATA!M153:'RV_DATA'!M157), 6)</f>
        <v>0.21</v>
      </c>
      <c r="Q144">
        <v>2</v>
      </c>
    </row>
    <row r="145" spans="1:17" ht="28.5" x14ac:dyDescent="0.2">
      <c r="A145" s="49" t="s">
        <v>520</v>
      </c>
      <c r="B145" s="42" t="s">
        <v>522</v>
      </c>
      <c r="C145" s="42" t="s">
        <v>393</v>
      </c>
      <c r="D145" s="43">
        <f>ROUND(SUMIF(RV_DATA!V153:'RV_DATA'!V157, 1844315211, RV_DATA!I153:'RV_DATA'!I157), 6)</f>
        <v>0.24</v>
      </c>
      <c r="E145" s="50">
        <f>ROUND(RV_DATA!K157, 6)</f>
        <v>31</v>
      </c>
      <c r="F145" s="50">
        <f>ROUND(SUMIF(RV_DATA!V153:'RV_DATA'!V157, 1844315211, RV_DATA!M153:'RV_DATA'!M157), 6)</f>
        <v>7.44</v>
      </c>
      <c r="Q145">
        <v>2</v>
      </c>
    </row>
    <row r="146" spans="1:17" ht="28.5" x14ac:dyDescent="0.2">
      <c r="A146" s="49" t="s">
        <v>400</v>
      </c>
      <c r="B146" s="42" t="s">
        <v>402</v>
      </c>
      <c r="C146" s="42" t="s">
        <v>393</v>
      </c>
      <c r="D146" s="43">
        <f>ROUND(SUMIF(RV_DATA!V153:'RV_DATA'!V157, -272556929, RV_DATA!I153:'RV_DATA'!I157), 6)</f>
        <v>1.6500000000000001E-2</v>
      </c>
      <c r="E146" s="50">
        <f>ROUND(RV_DATA!K153, 6)</f>
        <v>10.39</v>
      </c>
      <c r="F146" s="50">
        <f>ROUND(SUMIF(RV_DATA!V153:'RV_DATA'!V157, -272556929, RV_DATA!M153:'RV_DATA'!M157), 6)</f>
        <v>0.17</v>
      </c>
      <c r="Q146">
        <v>2</v>
      </c>
    </row>
    <row r="147" spans="1:17" ht="15" x14ac:dyDescent="0.25">
      <c r="A147" s="85" t="s">
        <v>776</v>
      </c>
      <c r="B147" s="85"/>
      <c r="C147" s="85"/>
      <c r="D147" s="85"/>
      <c r="E147" s="86">
        <f>SUMIF(Q142:Q146, 2, F142:F146)</f>
        <v>7.91</v>
      </c>
      <c r="F147" s="86"/>
    </row>
    <row r="148" spans="1:17" ht="16.5" x14ac:dyDescent="0.2">
      <c r="A148" s="76" t="str">
        <f>CONCATENATE("Подраздел: ",IF(Source!G335&lt;&gt;"Новый подраздел", Source!G335, ""))</f>
        <v>Подраздел: Строительные работы</v>
      </c>
      <c r="B148" s="77"/>
      <c r="C148" s="77"/>
      <c r="D148" s="77"/>
      <c r="E148" s="77"/>
      <c r="F148" s="77"/>
    </row>
    <row r="149" spans="1:17" ht="14.25" x14ac:dyDescent="0.2">
      <c r="A149" s="83" t="s">
        <v>775</v>
      </c>
      <c r="B149" s="84"/>
      <c r="C149" s="84"/>
      <c r="D149" s="84"/>
      <c r="E149" s="84"/>
      <c r="F149" s="84"/>
    </row>
    <row r="150" spans="1:17" ht="28.5" x14ac:dyDescent="0.2">
      <c r="A150" s="49" t="s">
        <v>412</v>
      </c>
      <c r="B150" s="42" t="s">
        <v>414</v>
      </c>
      <c r="C150" s="42" t="s">
        <v>393</v>
      </c>
      <c r="D150" s="43">
        <f>ROUND(SUMIF(RV_DATA!V159:'RV_DATA'!V172, 158304140, RV_DATA!I159:'RV_DATA'!I172), 6)</f>
        <v>5.5199999999999999E-2</v>
      </c>
      <c r="E150" s="50">
        <f>ROUND(RV_DATA!K164, 6)</f>
        <v>744.2</v>
      </c>
      <c r="F150" s="50">
        <f>ROUND(SUMIF(RV_DATA!V159:'RV_DATA'!V172, 158304140, RV_DATA!M159:'RV_DATA'!M172), 6)</f>
        <v>41.08</v>
      </c>
      <c r="Q150">
        <v>2</v>
      </c>
    </row>
    <row r="151" spans="1:17" ht="14.25" x14ac:dyDescent="0.2">
      <c r="A151" s="49" t="s">
        <v>441</v>
      </c>
      <c r="B151" s="42" t="s">
        <v>443</v>
      </c>
      <c r="C151" s="42" t="s">
        <v>393</v>
      </c>
      <c r="D151" s="43">
        <f>ROUND(SUMIF(RV_DATA!V159:'RV_DATA'!V172, 1723114365, RV_DATA!I159:'RV_DATA'!I172), 6)</f>
        <v>6.4799999999999996E-2</v>
      </c>
      <c r="E151" s="50">
        <f>ROUND(RV_DATA!K163, 6)</f>
        <v>1977.07</v>
      </c>
      <c r="F151" s="50">
        <f>ROUND(SUMIF(RV_DATA!V159:'RV_DATA'!V172, 1723114365, RV_DATA!M159:'RV_DATA'!M172), 6)</f>
        <v>128.11000000000001</v>
      </c>
      <c r="Q151">
        <v>2</v>
      </c>
    </row>
    <row r="152" spans="1:17" ht="14.25" x14ac:dyDescent="0.2">
      <c r="A152" s="49" t="s">
        <v>420</v>
      </c>
      <c r="B152" s="42" t="s">
        <v>422</v>
      </c>
      <c r="C152" s="42" t="s">
        <v>393</v>
      </c>
      <c r="D152" s="43">
        <f>ROUND(SUMIF(RV_DATA!V159:'RV_DATA'!V172, 456524966, RV_DATA!I159:'RV_DATA'!I172), 6)</f>
        <v>0.10879999999999999</v>
      </c>
      <c r="E152" s="50">
        <f>ROUND(RV_DATA!K162, 6)</f>
        <v>3.75</v>
      </c>
      <c r="F152" s="50">
        <f>ROUND(SUMIF(RV_DATA!V159:'RV_DATA'!V172, 456524966, RV_DATA!M159:'RV_DATA'!M172), 6)</f>
        <v>0.4</v>
      </c>
      <c r="Q152">
        <v>2</v>
      </c>
    </row>
    <row r="153" spans="1:17" ht="28.5" x14ac:dyDescent="0.2">
      <c r="A153" s="49" t="s">
        <v>520</v>
      </c>
      <c r="B153" s="42" t="s">
        <v>522</v>
      </c>
      <c r="C153" s="42" t="s">
        <v>393</v>
      </c>
      <c r="D153" s="43">
        <f>ROUND(SUMIF(RV_DATA!V159:'RV_DATA'!V172, 1844315211, RV_DATA!I159:'RV_DATA'!I172), 6)</f>
        <v>7.6</v>
      </c>
      <c r="E153" s="50">
        <f>ROUND(RV_DATA!K171, 6)</f>
        <v>31</v>
      </c>
      <c r="F153" s="50">
        <f>ROUND(SUMIF(RV_DATA!V159:'RV_DATA'!V172, 1844315211, RV_DATA!M159:'RV_DATA'!M172), 6)</f>
        <v>235.6</v>
      </c>
      <c r="Q153">
        <v>2</v>
      </c>
    </row>
    <row r="154" spans="1:17" ht="15" x14ac:dyDescent="0.25">
      <c r="A154" s="85" t="s">
        <v>776</v>
      </c>
      <c r="B154" s="85"/>
      <c r="C154" s="85"/>
      <c r="D154" s="85"/>
      <c r="E154" s="86">
        <f>SUMIF(Q150:Q153, 2, F150:F153)</f>
        <v>405.19</v>
      </c>
      <c r="F154" s="86"/>
    </row>
    <row r="155" spans="1:17" ht="14.25" x14ac:dyDescent="0.2">
      <c r="A155" s="83" t="s">
        <v>777</v>
      </c>
      <c r="B155" s="84"/>
      <c r="C155" s="84"/>
      <c r="D155" s="84"/>
      <c r="E155" s="84"/>
      <c r="F155" s="84"/>
    </row>
    <row r="156" spans="1:17" ht="28.5" x14ac:dyDescent="0.2">
      <c r="A156" s="49" t="s">
        <v>523</v>
      </c>
      <c r="B156" s="42" t="s">
        <v>525</v>
      </c>
      <c r="C156" s="42" t="s">
        <v>155</v>
      </c>
      <c r="D156" s="43">
        <f>ROUND(SUMIF(RV_DATA!V159:'RV_DATA'!V172, 442495294, RV_DATA!I159:'RV_DATA'!I172), 6)</f>
        <v>1.32E-3</v>
      </c>
      <c r="E156" s="50">
        <f>ROUND(RV_DATA!K170, 6)</f>
        <v>105084.63</v>
      </c>
      <c r="F156" s="50">
        <f>ROUND(SUMIF(RV_DATA!V159:'RV_DATA'!V172, 442495294, RV_DATA!M159:'RV_DATA'!M172), 6)</f>
        <v>138.71</v>
      </c>
      <c r="Q156">
        <v>3</v>
      </c>
    </row>
    <row r="157" spans="1:17" ht="42.75" x14ac:dyDescent="0.2">
      <c r="A157" s="49" t="s">
        <v>444</v>
      </c>
      <c r="B157" s="42" t="s">
        <v>446</v>
      </c>
      <c r="C157" s="42" t="s">
        <v>155</v>
      </c>
      <c r="D157" s="43">
        <f>ROUND(SUMIF(RV_DATA!V159:'RV_DATA'!V172, 1595178378, RV_DATA!I159:'RV_DATA'!I172), 6)</f>
        <v>5.5199999999999997E-3</v>
      </c>
      <c r="E157" s="50">
        <f>ROUND(RV_DATA!K161, 6)</f>
        <v>36258.75</v>
      </c>
      <c r="F157" s="50">
        <f>ROUND(SUMIF(RV_DATA!V159:'RV_DATA'!V172, 1595178378, RV_DATA!M159:'RV_DATA'!M172), 6)</f>
        <v>200.15</v>
      </c>
      <c r="Q157">
        <v>3</v>
      </c>
    </row>
    <row r="158" spans="1:17" ht="28.5" x14ac:dyDescent="0.2">
      <c r="A158" s="49" t="s">
        <v>496</v>
      </c>
      <c r="B158" s="42" t="s">
        <v>498</v>
      </c>
      <c r="C158" s="42" t="s">
        <v>155</v>
      </c>
      <c r="D158" s="43">
        <f>ROUND(SUMIF(RV_DATA!V159:'RV_DATA'!V172, 1991017595, RV_DATA!I159:'RV_DATA'!I172), 6)</f>
        <v>5.5999999999999995E-4</v>
      </c>
      <c r="E158" s="50">
        <f>ROUND(RV_DATA!K169, 6)</f>
        <v>110781.14</v>
      </c>
      <c r="F158" s="50">
        <f>ROUND(SUMIF(RV_DATA!V159:'RV_DATA'!V172, 1991017595, RV_DATA!M159:'RV_DATA'!M172), 6)</f>
        <v>62.04</v>
      </c>
      <c r="Q158">
        <v>3</v>
      </c>
    </row>
    <row r="159" spans="1:17" ht="42.75" x14ac:dyDescent="0.2">
      <c r="A159" s="49" t="s">
        <v>447</v>
      </c>
      <c r="B159" s="42" t="s">
        <v>449</v>
      </c>
      <c r="C159" s="42" t="s">
        <v>35</v>
      </c>
      <c r="D159" s="43">
        <f>ROUND(SUMIF(RV_DATA!V159:'RV_DATA'!V172, 1332636129, RV_DATA!I159:'RV_DATA'!I172), 6)</f>
        <v>8.0000000000000004E-4</v>
      </c>
      <c r="E159" s="50">
        <f>ROUND(RV_DATA!K160, 6)</f>
        <v>7064.05</v>
      </c>
      <c r="F159" s="50">
        <f>ROUND(SUMIF(RV_DATA!V159:'RV_DATA'!V172, 1332636129, RV_DATA!M159:'RV_DATA'!M172), 6)</f>
        <v>5.65</v>
      </c>
      <c r="Q159">
        <v>3</v>
      </c>
    </row>
    <row r="160" spans="1:17" ht="42.75" x14ac:dyDescent="0.2">
      <c r="A160" s="49" t="s">
        <v>450</v>
      </c>
      <c r="B160" s="42" t="s">
        <v>452</v>
      </c>
      <c r="C160" s="42" t="s">
        <v>155</v>
      </c>
      <c r="D160" s="43">
        <f>ROUND(SUMIF(RV_DATA!V159:'RV_DATA'!V172, 1846978656, RV_DATA!I159:'RV_DATA'!I172), 6)</f>
        <v>0.55600000000000005</v>
      </c>
      <c r="E160" s="50">
        <f>ROUND(RV_DATA!K159, 6)</f>
        <v>2562.79</v>
      </c>
      <c r="F160" s="50">
        <f>ROUND(SUMIF(RV_DATA!V159:'RV_DATA'!V172, 1846978656, RV_DATA!M159:'RV_DATA'!M172), 6)</f>
        <v>1424.91</v>
      </c>
      <c r="Q160">
        <v>3</v>
      </c>
    </row>
    <row r="161" spans="1:17" ht="57" x14ac:dyDescent="0.2">
      <c r="A161" s="49" t="s">
        <v>526</v>
      </c>
      <c r="B161" s="42" t="s">
        <v>528</v>
      </c>
      <c r="C161" s="42" t="s">
        <v>155</v>
      </c>
      <c r="D161" s="43">
        <f>ROUND(SUMIF(RV_DATA!V159:'RV_DATA'!V172, -1688827510, RV_DATA!I159:'RV_DATA'!I172), 6)</f>
        <v>0.4</v>
      </c>
      <c r="E161" s="50">
        <f>ROUND(RV_DATA!K168, 6)</f>
        <v>75026.559999999998</v>
      </c>
      <c r="F161" s="50">
        <f>ROUND(SUMIF(RV_DATA!V159:'RV_DATA'!V172, -1688827510, RV_DATA!M159:'RV_DATA'!M172), 6)</f>
        <v>30010.62</v>
      </c>
      <c r="Q161">
        <v>3</v>
      </c>
    </row>
    <row r="162" spans="1:17" ht="28.5" x14ac:dyDescent="0.2">
      <c r="A162" s="49" t="s">
        <v>196</v>
      </c>
      <c r="B162" s="42" t="s">
        <v>273</v>
      </c>
      <c r="C162" s="42" t="s">
        <v>198</v>
      </c>
      <c r="D162" s="43">
        <f>ROUND(SUMIF(RV_DATA!V159:'RV_DATA'!V172, -1628661758, RV_DATA!I159:'RV_DATA'!I172), 6)</f>
        <v>0.35936600000000002</v>
      </c>
      <c r="E162" s="50">
        <f>ROUND(RV_DATA!K172, 6)</f>
        <v>35285</v>
      </c>
      <c r="F162" s="50">
        <f>ROUND(SUMIF(RV_DATA!V159:'RV_DATA'!V172, -1628661758, RV_DATA!M159:'RV_DATA'!M172), 6)</f>
        <v>12680.23</v>
      </c>
      <c r="Q162">
        <v>3</v>
      </c>
    </row>
    <row r="163" spans="1:17" ht="15" x14ac:dyDescent="0.25">
      <c r="A163" s="85" t="s">
        <v>778</v>
      </c>
      <c r="B163" s="85"/>
      <c r="C163" s="85"/>
      <c r="D163" s="85"/>
      <c r="E163" s="86">
        <f>SUMIF(Q156:Q162, 3, F156:F162)</f>
        <v>44522.31</v>
      </c>
      <c r="F163" s="86"/>
    </row>
    <row r="164" spans="1:17" ht="16.5" x14ac:dyDescent="0.2">
      <c r="A164" s="76" t="str">
        <f>CONCATENATE("Раздел: ",IF(Source!G404&lt;&gt;"Новый раздел", Source!G404, ""))</f>
        <v>Раздел: Дорожки до веранд</v>
      </c>
      <c r="B164" s="77"/>
      <c r="C164" s="77"/>
      <c r="D164" s="77"/>
      <c r="E164" s="77"/>
      <c r="F164" s="77"/>
    </row>
    <row r="165" spans="1:17" ht="16.5" x14ac:dyDescent="0.2">
      <c r="A165" s="76" t="str">
        <f>CONCATENATE("Подраздел: ",IF(Source!G408&lt;&gt;"Новый подраздел", Source!G408, ""))</f>
        <v>Подраздел: Строительные работы</v>
      </c>
      <c r="B165" s="77"/>
      <c r="C165" s="77"/>
      <c r="D165" s="77"/>
      <c r="E165" s="77"/>
      <c r="F165" s="77"/>
    </row>
    <row r="166" spans="1:17" ht="14.25" x14ac:dyDescent="0.2">
      <c r="A166" s="83" t="s">
        <v>775</v>
      </c>
      <c r="B166" s="84"/>
      <c r="C166" s="84"/>
      <c r="D166" s="84"/>
      <c r="E166" s="84"/>
      <c r="F166" s="84"/>
    </row>
    <row r="167" spans="1:17" ht="28.5" x14ac:dyDescent="0.2">
      <c r="A167" s="49" t="s">
        <v>412</v>
      </c>
      <c r="B167" s="42" t="s">
        <v>414</v>
      </c>
      <c r="C167" s="42" t="s">
        <v>393</v>
      </c>
      <c r="D167" s="43">
        <f>ROUND(SUMIF(RV_DATA!V175:'RV_DATA'!V196, 158304140, RV_DATA!I175:'RV_DATA'!I196), 6)</f>
        <v>14.699611000000001</v>
      </c>
      <c r="E167" s="50">
        <f>ROUND(RV_DATA!K176, 6)</f>
        <v>744.2</v>
      </c>
      <c r="F167" s="50">
        <f>ROUND(SUMIF(RV_DATA!V175:'RV_DATA'!V196, 158304140, RV_DATA!M175:'RV_DATA'!M196), 6)</f>
        <v>10939.51</v>
      </c>
      <c r="Q167">
        <v>2</v>
      </c>
    </row>
    <row r="168" spans="1:17" ht="14.25" x14ac:dyDescent="0.2">
      <c r="A168" s="49" t="s">
        <v>441</v>
      </c>
      <c r="B168" s="42" t="s">
        <v>443</v>
      </c>
      <c r="C168" s="42" t="s">
        <v>393</v>
      </c>
      <c r="D168" s="43">
        <f>ROUND(SUMIF(RV_DATA!V175:'RV_DATA'!V196, 1723114365, RV_DATA!I175:'RV_DATA'!I196), 6)</f>
        <v>0.35113499999999997</v>
      </c>
      <c r="E168" s="50">
        <f>ROUND(RV_DATA!K192, 6)</f>
        <v>1977.07</v>
      </c>
      <c r="F168" s="50">
        <f>ROUND(SUMIF(RV_DATA!V175:'RV_DATA'!V196, 1723114365, RV_DATA!M175:'RV_DATA'!M196), 6)</f>
        <v>694.22</v>
      </c>
      <c r="Q168">
        <v>2</v>
      </c>
    </row>
    <row r="169" spans="1:17" ht="14.25" x14ac:dyDescent="0.2">
      <c r="A169" s="49" t="s">
        <v>420</v>
      </c>
      <c r="B169" s="42" t="s">
        <v>422</v>
      </c>
      <c r="C169" s="42" t="s">
        <v>393</v>
      </c>
      <c r="D169" s="43">
        <f>ROUND(SUMIF(RV_DATA!V175:'RV_DATA'!V196, 456524966, RV_DATA!I175:'RV_DATA'!I196), 6)</f>
        <v>14.990055999999999</v>
      </c>
      <c r="E169" s="50">
        <f>ROUND(RV_DATA!K175, 6)</f>
        <v>3.75</v>
      </c>
      <c r="F169" s="50">
        <f>ROUND(SUMIF(RV_DATA!V175:'RV_DATA'!V196, 456524966, RV_DATA!M175:'RV_DATA'!M196), 6)</f>
        <v>56.29</v>
      </c>
      <c r="Q169">
        <v>2</v>
      </c>
    </row>
    <row r="170" spans="1:17" ht="15" x14ac:dyDescent="0.25">
      <c r="A170" s="85" t="s">
        <v>776</v>
      </c>
      <c r="B170" s="85"/>
      <c r="C170" s="85"/>
      <c r="D170" s="85"/>
      <c r="E170" s="86">
        <f>SUMIF(Q167:Q169, 2, F167:F169)</f>
        <v>11690.02</v>
      </c>
      <c r="F170" s="86"/>
    </row>
    <row r="171" spans="1:17" ht="14.25" x14ac:dyDescent="0.2">
      <c r="A171" s="83" t="s">
        <v>777</v>
      </c>
      <c r="B171" s="84"/>
      <c r="C171" s="84"/>
      <c r="D171" s="84"/>
      <c r="E171" s="84"/>
      <c r="F171" s="84"/>
    </row>
    <row r="172" spans="1:17" ht="28.5" x14ac:dyDescent="0.2">
      <c r="A172" s="49" t="s">
        <v>423</v>
      </c>
      <c r="B172" s="42" t="s">
        <v>425</v>
      </c>
      <c r="C172" s="42" t="s">
        <v>35</v>
      </c>
      <c r="D172" s="43">
        <f>ROUND(SUMIF(RV_DATA!V175:'RV_DATA'!V196, 496958337, RV_DATA!I175:'RV_DATA'!I196), 6)</f>
        <v>9.7103999999999999</v>
      </c>
      <c r="E172" s="50">
        <f>ROUND(RV_DATA!K177, 6)</f>
        <v>590.78</v>
      </c>
      <c r="F172" s="50">
        <f>ROUND(SUMIF(RV_DATA!V175:'RV_DATA'!V196, 496958337, RV_DATA!M175:'RV_DATA'!M196), 6)</f>
        <v>5736.68</v>
      </c>
      <c r="Q172">
        <v>3</v>
      </c>
    </row>
    <row r="173" spans="1:17" ht="42.75" x14ac:dyDescent="0.2">
      <c r="A173" s="49" t="s">
        <v>432</v>
      </c>
      <c r="B173" s="42" t="s">
        <v>434</v>
      </c>
      <c r="C173" s="42" t="s">
        <v>35</v>
      </c>
      <c r="D173" s="43">
        <f>ROUND(SUMIF(RV_DATA!V175:'RV_DATA'!V196, 466345056, RV_DATA!I175:'RV_DATA'!I196), 6)</f>
        <v>1.17</v>
      </c>
      <c r="E173" s="50">
        <f>ROUND(RV_DATA!K185, 6)</f>
        <v>1436.5</v>
      </c>
      <c r="F173" s="50">
        <f>ROUND(SUMIF(RV_DATA!V175:'RV_DATA'!V196, 466345056, RV_DATA!M175:'RV_DATA'!M196), 6)</f>
        <v>1680.71</v>
      </c>
      <c r="Q173">
        <v>3</v>
      </c>
    </row>
    <row r="174" spans="1:17" ht="42.75" x14ac:dyDescent="0.2">
      <c r="A174" s="49" t="s">
        <v>435</v>
      </c>
      <c r="B174" s="42" t="s">
        <v>437</v>
      </c>
      <c r="C174" s="42" t="s">
        <v>35</v>
      </c>
      <c r="D174" s="43">
        <f>ROUND(SUMIF(RV_DATA!V175:'RV_DATA'!V196, -1287472248, RV_DATA!I175:'RV_DATA'!I196), 6)</f>
        <v>0.58499999999999996</v>
      </c>
      <c r="E174" s="50">
        <f>ROUND(RV_DATA!K184, 6)</f>
        <v>1436.5</v>
      </c>
      <c r="F174" s="50">
        <f>ROUND(SUMIF(RV_DATA!V175:'RV_DATA'!V196, -1287472248, RV_DATA!M175:'RV_DATA'!M196), 6)</f>
        <v>840.39</v>
      </c>
      <c r="Q174">
        <v>3</v>
      </c>
    </row>
    <row r="175" spans="1:17" ht="42.75" x14ac:dyDescent="0.2">
      <c r="A175" s="49" t="s">
        <v>438</v>
      </c>
      <c r="B175" s="42" t="s">
        <v>440</v>
      </c>
      <c r="C175" s="42" t="s">
        <v>35</v>
      </c>
      <c r="D175" s="43">
        <f>ROUND(SUMIF(RV_DATA!V175:'RV_DATA'!V196, 566866900, RV_DATA!I175:'RV_DATA'!I196), 6)</f>
        <v>6.5</v>
      </c>
      <c r="E175" s="50">
        <f>ROUND(RV_DATA!K183, 6)</f>
        <v>1241</v>
      </c>
      <c r="F175" s="50">
        <f>ROUND(SUMIF(RV_DATA!V175:'RV_DATA'!V196, 566866900, RV_DATA!M175:'RV_DATA'!M196), 6)</f>
        <v>8066.5</v>
      </c>
      <c r="Q175">
        <v>3</v>
      </c>
    </row>
    <row r="176" spans="1:17" ht="42.75" x14ac:dyDescent="0.2">
      <c r="A176" s="49" t="s">
        <v>444</v>
      </c>
      <c r="B176" s="42" t="s">
        <v>446</v>
      </c>
      <c r="C176" s="42" t="s">
        <v>155</v>
      </c>
      <c r="D176" s="43">
        <f>ROUND(SUMIF(RV_DATA!V175:'RV_DATA'!V196, 1595178378, RV_DATA!I175:'RV_DATA'!I196), 6)</f>
        <v>2.9912000000000001E-2</v>
      </c>
      <c r="E176" s="50">
        <f>ROUND(RV_DATA!K190, 6)</f>
        <v>36258.75</v>
      </c>
      <c r="F176" s="50">
        <f>ROUND(SUMIF(RV_DATA!V175:'RV_DATA'!V196, 1595178378, RV_DATA!M175:'RV_DATA'!M196), 6)</f>
        <v>1084.55</v>
      </c>
      <c r="Q176">
        <v>3</v>
      </c>
    </row>
    <row r="177" spans="1:17" ht="42.75" x14ac:dyDescent="0.2">
      <c r="A177" s="49" t="s">
        <v>426</v>
      </c>
      <c r="B177" s="42" t="s">
        <v>428</v>
      </c>
      <c r="C177" s="42" t="s">
        <v>155</v>
      </c>
      <c r="D177" s="43">
        <f>ROUND(SUMIF(RV_DATA!V175:'RV_DATA'!V196, -1263609757, RV_DATA!I175:'RV_DATA'!I196), 6)</f>
        <v>0.25431999999999999</v>
      </c>
      <c r="E177" s="50">
        <f>ROUND(RV_DATA!K181, 6)</f>
        <v>4207.5</v>
      </c>
      <c r="F177" s="50">
        <f>ROUND(SUMIF(RV_DATA!V175:'RV_DATA'!V196, -1263609757, RV_DATA!M175:'RV_DATA'!M196), 6)</f>
        <v>1069.8800000000001</v>
      </c>
      <c r="Q177">
        <v>3</v>
      </c>
    </row>
    <row r="178" spans="1:17" ht="42.75" x14ac:dyDescent="0.2">
      <c r="A178" s="49" t="s">
        <v>447</v>
      </c>
      <c r="B178" s="42" t="s">
        <v>449</v>
      </c>
      <c r="C178" s="42" t="s">
        <v>35</v>
      </c>
      <c r="D178" s="43">
        <f>ROUND(SUMIF(RV_DATA!V175:'RV_DATA'!V196, 1332636129, RV_DATA!I175:'RV_DATA'!I196), 6)</f>
        <v>4.3350000000000003E-3</v>
      </c>
      <c r="E178" s="50">
        <f>ROUND(RV_DATA!K189, 6)</f>
        <v>7064.05</v>
      </c>
      <c r="F178" s="50">
        <f>ROUND(SUMIF(RV_DATA!V175:'RV_DATA'!V196, 1332636129, RV_DATA!M175:'RV_DATA'!M196), 6)</f>
        <v>30.62</v>
      </c>
      <c r="Q178">
        <v>3</v>
      </c>
    </row>
    <row r="179" spans="1:17" ht="57" x14ac:dyDescent="0.2">
      <c r="A179" s="49" t="s">
        <v>429</v>
      </c>
      <c r="B179" s="42" t="s">
        <v>431</v>
      </c>
      <c r="C179" s="42" t="s">
        <v>35</v>
      </c>
      <c r="D179" s="43">
        <f>ROUND(SUMIF(RV_DATA!V175:'RV_DATA'!V196, -887866689, RV_DATA!I175:'RV_DATA'!I196), 6)</f>
        <v>4.3928000000000003</v>
      </c>
      <c r="E179" s="50">
        <f>ROUND(RV_DATA!K180, 6)</f>
        <v>3714.73</v>
      </c>
      <c r="F179" s="50">
        <f>ROUND(SUMIF(RV_DATA!V175:'RV_DATA'!V196, -887866689, RV_DATA!M175:'RV_DATA'!M196), 6)</f>
        <v>16318.1</v>
      </c>
      <c r="Q179">
        <v>3</v>
      </c>
    </row>
    <row r="180" spans="1:17" ht="42.75" x14ac:dyDescent="0.2">
      <c r="A180" s="49" t="s">
        <v>450</v>
      </c>
      <c r="B180" s="42" t="s">
        <v>452</v>
      </c>
      <c r="C180" s="42" t="s">
        <v>155</v>
      </c>
      <c r="D180" s="43">
        <f>ROUND(SUMIF(RV_DATA!V175:'RV_DATA'!V196, 1846978656, RV_DATA!I175:'RV_DATA'!I196), 6)</f>
        <v>3.0128249999999999</v>
      </c>
      <c r="E180" s="50">
        <f>ROUND(RV_DATA!K188, 6)</f>
        <v>2562.79</v>
      </c>
      <c r="F180" s="50">
        <f>ROUND(SUMIF(RV_DATA!V175:'RV_DATA'!V196, 1846978656, RV_DATA!M175:'RV_DATA'!M196), 6)</f>
        <v>7721.24</v>
      </c>
      <c r="Q180">
        <v>3</v>
      </c>
    </row>
    <row r="181" spans="1:17" ht="28.5" x14ac:dyDescent="0.2">
      <c r="A181" s="49" t="s">
        <v>124</v>
      </c>
      <c r="B181" s="42" t="s">
        <v>125</v>
      </c>
      <c r="C181" s="42" t="s">
        <v>35</v>
      </c>
      <c r="D181" s="43">
        <f>ROUND(SUMIF(RV_DATA!V175:'RV_DATA'!V196, -1801759247, RV_DATA!I175:'RV_DATA'!I196), 6)</f>
        <v>0.57799999999999996</v>
      </c>
      <c r="E181" s="50">
        <f>ROUND(RV_DATA!K182, 6)</f>
        <v>9014.9</v>
      </c>
      <c r="F181" s="50">
        <f>ROUND(SUMIF(RV_DATA!V175:'RV_DATA'!V196, -1801759247, RV_DATA!M175:'RV_DATA'!M196), 6)</f>
        <v>5210.6099999999997</v>
      </c>
      <c r="Q181">
        <v>3</v>
      </c>
    </row>
    <row r="182" spans="1:17" ht="15" x14ac:dyDescent="0.25">
      <c r="A182" s="85" t="s">
        <v>778</v>
      </c>
      <c r="B182" s="85"/>
      <c r="C182" s="85"/>
      <c r="D182" s="85"/>
      <c r="E182" s="86">
        <f>SUMIF(Q172:Q181, 3, F172:F181)</f>
        <v>47759.28</v>
      </c>
      <c r="F182" s="86"/>
    </row>
    <row r="183" spans="1:17" ht="16.5" x14ac:dyDescent="0.2">
      <c r="A183" s="76" t="str">
        <f>CONCATENATE("Раздел: ",IF(Source!G481&lt;&gt;"Новый раздел", Source!G481, ""))</f>
        <v>Раздел: Забор</v>
      </c>
      <c r="B183" s="77"/>
      <c r="C183" s="77"/>
      <c r="D183" s="77"/>
      <c r="E183" s="77"/>
      <c r="F183" s="77"/>
    </row>
    <row r="184" spans="1:17" ht="16.5" x14ac:dyDescent="0.2">
      <c r="A184" s="76" t="str">
        <f>CONCATENATE("Подраздел: ",IF(Source!G485&lt;&gt;"Новый подраздел", Source!G485, ""))</f>
        <v>Подраздел: Демонтажные работы</v>
      </c>
      <c r="B184" s="77"/>
      <c r="C184" s="77"/>
      <c r="D184" s="77"/>
      <c r="E184" s="77"/>
      <c r="F184" s="77"/>
    </row>
    <row r="185" spans="1:17" ht="14.25" x14ac:dyDescent="0.2">
      <c r="A185" s="83" t="s">
        <v>775</v>
      </c>
      <c r="B185" s="84"/>
      <c r="C185" s="84"/>
      <c r="D185" s="84"/>
      <c r="E185" s="84"/>
      <c r="F185" s="84"/>
    </row>
    <row r="186" spans="1:17" ht="28.5" x14ac:dyDescent="0.2">
      <c r="A186" s="49" t="s">
        <v>520</v>
      </c>
      <c r="B186" s="42" t="s">
        <v>522</v>
      </c>
      <c r="C186" s="42" t="s">
        <v>393</v>
      </c>
      <c r="D186" s="43">
        <f>ROUND(SUMIF(RV_DATA!V199:'RV_DATA'!V199, 1844315211, RV_DATA!I199:'RV_DATA'!I199), 6)</f>
        <v>20.634</v>
      </c>
      <c r="E186" s="50">
        <f>ROUND(RV_DATA!K199, 6)</f>
        <v>31</v>
      </c>
      <c r="F186" s="50">
        <f>ROUND(SUMIF(RV_DATA!V199:'RV_DATA'!V199, 1844315211, RV_DATA!M199:'RV_DATA'!M199), 6)</f>
        <v>639.65</v>
      </c>
      <c r="Q186">
        <v>2</v>
      </c>
    </row>
    <row r="187" spans="1:17" ht="15" x14ac:dyDescent="0.25">
      <c r="A187" s="85" t="s">
        <v>776</v>
      </c>
      <c r="B187" s="85"/>
      <c r="C187" s="85"/>
      <c r="D187" s="85"/>
      <c r="E187" s="86">
        <f>SUMIF(Q186:Q186, 2, F186:F186)</f>
        <v>639.65</v>
      </c>
      <c r="F187" s="86"/>
    </row>
    <row r="188" spans="1:17" ht="16.5" x14ac:dyDescent="0.2">
      <c r="A188" s="76" t="str">
        <f>CONCATENATE("Подраздел: ",IF(Source!G521&lt;&gt;"Новый подраздел", Source!G521, ""))</f>
        <v>Подраздел: Строительные работы</v>
      </c>
      <c r="B188" s="77"/>
      <c r="C188" s="77"/>
      <c r="D188" s="77"/>
      <c r="E188" s="77"/>
      <c r="F188" s="77"/>
    </row>
    <row r="189" spans="1:17" ht="14.25" x14ac:dyDescent="0.2">
      <c r="A189" s="83" t="s">
        <v>775</v>
      </c>
      <c r="B189" s="84"/>
      <c r="C189" s="84"/>
      <c r="D189" s="84"/>
      <c r="E189" s="84"/>
      <c r="F189" s="84"/>
    </row>
    <row r="190" spans="1:17" ht="28.5" x14ac:dyDescent="0.2">
      <c r="A190" s="49" t="s">
        <v>493</v>
      </c>
      <c r="B190" s="42" t="s">
        <v>495</v>
      </c>
      <c r="C190" s="42" t="s">
        <v>393</v>
      </c>
      <c r="D190" s="43">
        <f>ROUND(SUMIF(RV_DATA!V201:'RV_DATA'!V256, -508985352, RV_DATA!I201:'RV_DATA'!I256), 6)</f>
        <v>0.32</v>
      </c>
      <c r="E190" s="50">
        <f>ROUND(RV_DATA!K254, 6)</f>
        <v>27.21</v>
      </c>
      <c r="F190" s="50">
        <f>ROUND(SUMIF(RV_DATA!V201:'RV_DATA'!V256, -508985352, RV_DATA!M201:'RV_DATA'!M256), 6)</f>
        <v>8.7100000000000009</v>
      </c>
      <c r="Q190">
        <v>2</v>
      </c>
    </row>
    <row r="191" spans="1:17" ht="14.25" x14ac:dyDescent="0.2">
      <c r="A191" s="49" t="s">
        <v>586</v>
      </c>
      <c r="B191" s="42" t="s">
        <v>588</v>
      </c>
      <c r="C191" s="42" t="s">
        <v>393</v>
      </c>
      <c r="D191" s="43">
        <f>ROUND(SUMIF(RV_DATA!V201:'RV_DATA'!V256, 1242154866, RV_DATA!I201:'RV_DATA'!I256), 6)</f>
        <v>177.40799999999999</v>
      </c>
      <c r="E191" s="50">
        <f>ROUND(RV_DATA!K207, 6)</f>
        <v>351.29</v>
      </c>
      <c r="F191" s="50">
        <f>ROUND(SUMIF(RV_DATA!V201:'RV_DATA'!V256, 1242154866, RV_DATA!M201:'RV_DATA'!M256), 6)</f>
        <v>62323.8</v>
      </c>
      <c r="Q191">
        <v>2</v>
      </c>
    </row>
    <row r="192" spans="1:17" ht="14.25" x14ac:dyDescent="0.2">
      <c r="A192" s="49" t="s">
        <v>499</v>
      </c>
      <c r="B192" s="42" t="s">
        <v>501</v>
      </c>
      <c r="C192" s="42" t="s">
        <v>393</v>
      </c>
      <c r="D192" s="43">
        <f>ROUND(SUMIF(RV_DATA!V201:'RV_DATA'!V256, -933967410, RV_DATA!I201:'RV_DATA'!I256), 6)</f>
        <v>9.6989999999999998</v>
      </c>
      <c r="E192" s="50">
        <f>ROUND(RV_DATA!K224, 6)</f>
        <v>6.29</v>
      </c>
      <c r="F192" s="50">
        <f>ROUND(SUMIF(RV_DATA!V201:'RV_DATA'!V256, -933967410, RV_DATA!M201:'RV_DATA'!M256), 6)</f>
        <v>61</v>
      </c>
      <c r="Q192">
        <v>2</v>
      </c>
    </row>
    <row r="193" spans="1:17" ht="28.5" x14ac:dyDescent="0.2">
      <c r="A193" s="49" t="s">
        <v>456</v>
      </c>
      <c r="B193" s="42" t="s">
        <v>458</v>
      </c>
      <c r="C193" s="42" t="s">
        <v>393</v>
      </c>
      <c r="D193" s="43">
        <f>ROUND(SUMIF(RV_DATA!V201:'RV_DATA'!V256, -2110789947, RV_DATA!I201:'RV_DATA'!I256), 6)</f>
        <v>54.199199999999998</v>
      </c>
      <c r="E193" s="50">
        <f>ROUND(RV_DATA!K248, 6)</f>
        <v>7.44</v>
      </c>
      <c r="F193" s="50">
        <f>ROUND(SUMIF(RV_DATA!V201:'RV_DATA'!V256, -2110789947, RV_DATA!M201:'RV_DATA'!M256), 6)</f>
        <v>403.23</v>
      </c>
      <c r="Q193">
        <v>2</v>
      </c>
    </row>
    <row r="194" spans="1:17" ht="14.25" x14ac:dyDescent="0.2">
      <c r="A194" s="49" t="s">
        <v>502</v>
      </c>
      <c r="B194" s="42" t="s">
        <v>504</v>
      </c>
      <c r="C194" s="42" t="s">
        <v>393</v>
      </c>
      <c r="D194" s="43">
        <f>ROUND(SUMIF(RV_DATA!V201:'RV_DATA'!V256, 1196876742, RV_DATA!I201:'RV_DATA'!I256), 6)</f>
        <v>53.637999999999998</v>
      </c>
      <c r="E194" s="50">
        <f>ROUND(RV_DATA!K206, 6)</f>
        <v>5.94</v>
      </c>
      <c r="F194" s="50">
        <f>ROUND(SUMIF(RV_DATA!V201:'RV_DATA'!V256, 1196876742, RV_DATA!M201:'RV_DATA'!M256), 6)</f>
        <v>317.33</v>
      </c>
      <c r="Q194">
        <v>2</v>
      </c>
    </row>
    <row r="195" spans="1:17" ht="14.25" x14ac:dyDescent="0.2">
      <c r="A195" s="49" t="s">
        <v>535</v>
      </c>
      <c r="B195" s="42" t="s">
        <v>537</v>
      </c>
      <c r="C195" s="42" t="s">
        <v>393</v>
      </c>
      <c r="D195" s="43">
        <f>ROUND(SUMIF(RV_DATA!V201:'RV_DATA'!V256, -423908251, RV_DATA!I201:'RV_DATA'!I256), 6)</f>
        <v>9.266</v>
      </c>
      <c r="E195" s="50">
        <f>ROUND(RV_DATA!K247, 6)</f>
        <v>4.58</v>
      </c>
      <c r="F195" s="50">
        <f>ROUND(SUMIF(RV_DATA!V201:'RV_DATA'!V256, -423908251, RV_DATA!M201:'RV_DATA'!M256), 6)</f>
        <v>42.44</v>
      </c>
      <c r="Q195">
        <v>2</v>
      </c>
    </row>
    <row r="196" spans="1:17" ht="14.25" x14ac:dyDescent="0.2">
      <c r="A196" s="49" t="s">
        <v>589</v>
      </c>
      <c r="B196" s="42" t="s">
        <v>591</v>
      </c>
      <c r="C196" s="42" t="s">
        <v>393</v>
      </c>
      <c r="D196" s="43">
        <f>ROUND(SUMIF(RV_DATA!V201:'RV_DATA'!V256, 953436950, RV_DATA!I201:'RV_DATA'!I256), 6)</f>
        <v>232.84800000000001</v>
      </c>
      <c r="E196" s="50">
        <f>ROUND(RV_DATA!K205, 6)</f>
        <v>652.16</v>
      </c>
      <c r="F196" s="50">
        <f>ROUND(SUMIF(RV_DATA!V201:'RV_DATA'!V256, 953436950, RV_DATA!M201:'RV_DATA'!M256), 6)</f>
        <v>151854.78</v>
      </c>
      <c r="Q196">
        <v>2</v>
      </c>
    </row>
    <row r="197" spans="1:17" ht="14.25" x14ac:dyDescent="0.2">
      <c r="A197" s="49" t="s">
        <v>538</v>
      </c>
      <c r="B197" s="42" t="s">
        <v>540</v>
      </c>
      <c r="C197" s="42" t="s">
        <v>393</v>
      </c>
      <c r="D197" s="43">
        <f>ROUND(SUMIF(RV_DATA!V201:'RV_DATA'!V256, -349933635, RV_DATA!I201:'RV_DATA'!I256), 6)</f>
        <v>11.038</v>
      </c>
      <c r="E197" s="50">
        <f>ROUND(RV_DATA!K246, 6)</f>
        <v>5.08</v>
      </c>
      <c r="F197" s="50">
        <f>ROUND(SUMIF(RV_DATA!V201:'RV_DATA'!V256, -349933635, RV_DATA!M201:'RV_DATA'!M256), 6)</f>
        <v>56.07</v>
      </c>
      <c r="Q197">
        <v>2</v>
      </c>
    </row>
    <row r="198" spans="1:17" ht="28.5" x14ac:dyDescent="0.2">
      <c r="A198" s="49" t="s">
        <v>598</v>
      </c>
      <c r="B198" s="42" t="s">
        <v>600</v>
      </c>
      <c r="C198" s="42" t="s">
        <v>393</v>
      </c>
      <c r="D198" s="43">
        <f>ROUND(SUMIF(RV_DATA!V201:'RV_DATA'!V256, 826204623, RV_DATA!I201:'RV_DATA'!I256), 6)</f>
        <v>6.2220000000000004</v>
      </c>
      <c r="E198" s="50">
        <f>ROUND(RV_DATA!K222, 6)</f>
        <v>436.08</v>
      </c>
      <c r="F198" s="50">
        <f>ROUND(SUMIF(RV_DATA!V201:'RV_DATA'!V256, 826204623, RV_DATA!M201:'RV_DATA'!M256), 6)</f>
        <v>2713.28</v>
      </c>
      <c r="Q198">
        <v>2</v>
      </c>
    </row>
    <row r="199" spans="1:17" ht="14.25" x14ac:dyDescent="0.2">
      <c r="A199" s="49" t="s">
        <v>601</v>
      </c>
      <c r="B199" s="42" t="s">
        <v>603</v>
      </c>
      <c r="C199" s="42" t="s">
        <v>393</v>
      </c>
      <c r="D199" s="43">
        <f>ROUND(SUMIF(RV_DATA!V201:'RV_DATA'!V256, -447847367, RV_DATA!I201:'RV_DATA'!I256), 6)</f>
        <v>10.186999999999999</v>
      </c>
      <c r="E199" s="50">
        <f>ROUND(RV_DATA!K221, 6)</f>
        <v>10.82</v>
      </c>
      <c r="F199" s="50">
        <f>ROUND(SUMIF(RV_DATA!V201:'RV_DATA'!V256, -447847367, RV_DATA!M201:'RV_DATA'!M256), 6)</f>
        <v>110.41</v>
      </c>
      <c r="Q199">
        <v>2</v>
      </c>
    </row>
    <row r="200" spans="1:17" ht="28.5" x14ac:dyDescent="0.2">
      <c r="A200" s="49" t="s">
        <v>604</v>
      </c>
      <c r="B200" s="42" t="s">
        <v>606</v>
      </c>
      <c r="C200" s="42" t="s">
        <v>393</v>
      </c>
      <c r="D200" s="43">
        <f>ROUND(SUMIF(RV_DATA!V201:'RV_DATA'!V256, -1784055919, RV_DATA!I201:'RV_DATA'!I256), 6)</f>
        <v>10.186999999999999</v>
      </c>
      <c r="E200" s="50">
        <f>ROUND(RV_DATA!K220, 6)</f>
        <v>1289.26</v>
      </c>
      <c r="F200" s="50">
        <f>ROUND(SUMIF(RV_DATA!V201:'RV_DATA'!V256, -1784055919, RV_DATA!M201:'RV_DATA'!M256), 6)</f>
        <v>13133.91</v>
      </c>
      <c r="Q200">
        <v>2</v>
      </c>
    </row>
    <row r="201" spans="1:17" ht="15" x14ac:dyDescent="0.25">
      <c r="A201" s="85" t="s">
        <v>776</v>
      </c>
      <c r="B201" s="85"/>
      <c r="C201" s="85"/>
      <c r="D201" s="85"/>
      <c r="E201" s="86">
        <f>SUMIF(Q190:Q200, 2, F190:F200)</f>
        <v>231024.96000000002</v>
      </c>
      <c r="F201" s="86"/>
    </row>
    <row r="202" spans="1:17" ht="14.25" x14ac:dyDescent="0.2">
      <c r="A202" s="83" t="s">
        <v>777</v>
      </c>
      <c r="B202" s="84"/>
      <c r="C202" s="84"/>
      <c r="D202" s="84"/>
      <c r="E202" s="84"/>
      <c r="F202" s="84"/>
    </row>
    <row r="203" spans="1:17" ht="42.75" x14ac:dyDescent="0.2">
      <c r="A203" s="49" t="s">
        <v>592</v>
      </c>
      <c r="B203" s="42" t="s">
        <v>594</v>
      </c>
      <c r="C203" s="42" t="s">
        <v>155</v>
      </c>
      <c r="D203" s="43">
        <f>ROUND(SUMIF(RV_DATA!V201:'RV_DATA'!V256, -2092792976, RV_DATA!I201:'RV_DATA'!I256), 6)</f>
        <v>0.52822999999999998</v>
      </c>
      <c r="E203" s="50">
        <f>ROUND(RV_DATA!K204, 6)</f>
        <v>38268.54</v>
      </c>
      <c r="F203" s="50">
        <f>ROUND(SUMIF(RV_DATA!V201:'RV_DATA'!V256, -2092792976, RV_DATA!M201:'RV_DATA'!M256), 6)</f>
        <v>20213.95</v>
      </c>
      <c r="Q203">
        <v>3</v>
      </c>
    </row>
    <row r="204" spans="1:17" ht="42.75" x14ac:dyDescent="0.2">
      <c r="A204" s="49" t="s">
        <v>607</v>
      </c>
      <c r="B204" s="42" t="s">
        <v>609</v>
      </c>
      <c r="C204" s="42" t="s">
        <v>155</v>
      </c>
      <c r="D204" s="43">
        <f>ROUND(SUMIF(RV_DATA!V201:'RV_DATA'!V256, 1810130949, RV_DATA!I201:'RV_DATA'!I256), 6)</f>
        <v>1.4030000000000001E-2</v>
      </c>
      <c r="E204" s="50">
        <f>ROUND(RV_DATA!K218, 6)</f>
        <v>37354.800000000003</v>
      </c>
      <c r="F204" s="50">
        <f>ROUND(SUMIF(RV_DATA!V201:'RV_DATA'!V256, 1810130949, RV_DATA!M201:'RV_DATA'!M256), 6)</f>
        <v>523.99</v>
      </c>
      <c r="Q204">
        <v>3</v>
      </c>
    </row>
    <row r="205" spans="1:17" ht="57" x14ac:dyDescent="0.2">
      <c r="A205" s="49" t="s">
        <v>292</v>
      </c>
      <c r="B205" s="42" t="s">
        <v>293</v>
      </c>
      <c r="C205" s="42" t="s">
        <v>155</v>
      </c>
      <c r="D205" s="43">
        <f>ROUND(SUMIF(RV_DATA!V201:'RV_DATA'!V256, 129491867, RV_DATA!I201:'RV_DATA'!I256), 6)</f>
        <v>1.49</v>
      </c>
      <c r="E205" s="50">
        <f>ROUND(RV_DATA!K203, 6)</f>
        <v>37537.54</v>
      </c>
      <c r="F205" s="50">
        <f>ROUND(SUMIF(RV_DATA!V201:'RV_DATA'!V256, 129491867, RV_DATA!M201:'RV_DATA'!M256), 6)</f>
        <v>55929.34</v>
      </c>
      <c r="Q205">
        <v>3</v>
      </c>
    </row>
    <row r="206" spans="1:17" ht="57" x14ac:dyDescent="0.2">
      <c r="A206" s="49" t="s">
        <v>300</v>
      </c>
      <c r="B206" s="42" t="s">
        <v>301</v>
      </c>
      <c r="C206" s="42" t="s">
        <v>155</v>
      </c>
      <c r="D206" s="43">
        <f>ROUND(SUMIF(RV_DATA!V201:'RV_DATA'!V256, -318016820, RV_DATA!I201:'RV_DATA'!I256), 6)</f>
        <v>2.6909999999999998</v>
      </c>
      <c r="E206" s="50">
        <f>ROUND(RV_DATA!K210, 6)</f>
        <v>40597.550000000003</v>
      </c>
      <c r="F206" s="50">
        <f>ROUND(SUMIF(RV_DATA!V201:'RV_DATA'!V256, -318016820, RV_DATA!M201:'RV_DATA'!M256), 6)</f>
        <v>109248.01</v>
      </c>
      <c r="Q206">
        <v>3</v>
      </c>
    </row>
    <row r="207" spans="1:17" ht="57" x14ac:dyDescent="0.2">
      <c r="A207" s="49" t="s">
        <v>162</v>
      </c>
      <c r="B207" s="42" t="s">
        <v>163</v>
      </c>
      <c r="C207" s="42" t="s">
        <v>155</v>
      </c>
      <c r="D207" s="43">
        <f>ROUND(SUMIF(RV_DATA!V201:'RV_DATA'!V256, 346107761, RV_DATA!I201:'RV_DATA'!I256), 6)</f>
        <v>1.71</v>
      </c>
      <c r="E207" s="50">
        <f>ROUND(RV_DATA!K226, 6)</f>
        <v>37329.29</v>
      </c>
      <c r="F207" s="50">
        <f>ROUND(SUMIF(RV_DATA!V201:'RV_DATA'!V256, 346107761, RV_DATA!M201:'RV_DATA'!M256), 6)</f>
        <v>63833.09</v>
      </c>
      <c r="Q207">
        <v>3</v>
      </c>
    </row>
    <row r="208" spans="1:17" ht="57" x14ac:dyDescent="0.2">
      <c r="A208" s="49" t="s">
        <v>296</v>
      </c>
      <c r="B208" s="42" t="s">
        <v>297</v>
      </c>
      <c r="C208" s="42" t="s">
        <v>155</v>
      </c>
      <c r="D208" s="43">
        <f>ROUND(SUMIF(RV_DATA!V201:'RV_DATA'!V256, -563386750, RV_DATA!I201:'RV_DATA'!I256), 6)</f>
        <v>1.8520000000000001</v>
      </c>
      <c r="E208" s="50">
        <f>ROUND(RV_DATA!K209, 6)</f>
        <v>39110.050000000003</v>
      </c>
      <c r="F208" s="50">
        <f>ROUND(SUMIF(RV_DATA!V201:'RV_DATA'!V256, -563386750, RV_DATA!M201:'RV_DATA'!M256), 6)</f>
        <v>72431.81</v>
      </c>
      <c r="Q208">
        <v>3</v>
      </c>
    </row>
    <row r="209" spans="1:17" ht="28.5" x14ac:dyDescent="0.2">
      <c r="A209" s="49" t="s">
        <v>523</v>
      </c>
      <c r="B209" s="42" t="s">
        <v>525</v>
      </c>
      <c r="C209" s="42" t="s">
        <v>155</v>
      </c>
      <c r="D209" s="43">
        <f>ROUND(SUMIF(RV_DATA!V201:'RV_DATA'!V256, 442495294, RV_DATA!I201:'RV_DATA'!I256), 6)</f>
        <v>6.0000000000000002E-5</v>
      </c>
      <c r="E209" s="50">
        <f>ROUND(RV_DATA!K256, 6)</f>
        <v>105084.63</v>
      </c>
      <c r="F209" s="50">
        <f>ROUND(SUMIF(RV_DATA!V201:'RV_DATA'!V256, 442495294, RV_DATA!M201:'RV_DATA'!M256), 6)</f>
        <v>6.31</v>
      </c>
      <c r="Q209">
        <v>3</v>
      </c>
    </row>
    <row r="210" spans="1:17" ht="28.5" x14ac:dyDescent="0.2">
      <c r="A210" s="49" t="s">
        <v>622</v>
      </c>
      <c r="B210" s="42" t="s">
        <v>624</v>
      </c>
      <c r="C210" s="42" t="s">
        <v>474</v>
      </c>
      <c r="D210" s="43">
        <f>ROUND(SUMIF(RV_DATA!V201:'RV_DATA'!V256, 1205958222, RV_DATA!I201:'RV_DATA'!I256), 6)</f>
        <v>0.02</v>
      </c>
      <c r="E210" s="50">
        <f>ROUND(RV_DATA!K250, 6)</f>
        <v>148.69999999999999</v>
      </c>
      <c r="F210" s="50">
        <f>ROUND(SUMIF(RV_DATA!V201:'RV_DATA'!V256, 1205958222, RV_DATA!M201:'RV_DATA'!M256), 6)</f>
        <v>2.97</v>
      </c>
      <c r="Q210">
        <v>3</v>
      </c>
    </row>
    <row r="211" spans="1:17" ht="28.5" x14ac:dyDescent="0.2">
      <c r="A211" s="49" t="s">
        <v>423</v>
      </c>
      <c r="B211" s="42" t="s">
        <v>425</v>
      </c>
      <c r="C211" s="42" t="s">
        <v>35</v>
      </c>
      <c r="D211" s="43">
        <f>ROUND(SUMIF(RV_DATA!V201:'RV_DATA'!V256, 496958337, RV_DATA!I201:'RV_DATA'!I256), 6)</f>
        <v>6.1</v>
      </c>
      <c r="E211" s="50">
        <f>ROUND(RV_DATA!K217, 6)</f>
        <v>590.78</v>
      </c>
      <c r="F211" s="50">
        <f>ROUND(SUMIF(RV_DATA!V201:'RV_DATA'!V256, 496958337, RV_DATA!M201:'RV_DATA'!M256), 6)</f>
        <v>3603.88</v>
      </c>
      <c r="Q211">
        <v>3</v>
      </c>
    </row>
    <row r="212" spans="1:17" ht="42.75" x14ac:dyDescent="0.2">
      <c r="A212" s="49" t="s">
        <v>610</v>
      </c>
      <c r="B212" s="42" t="s">
        <v>612</v>
      </c>
      <c r="C212" s="42" t="s">
        <v>35</v>
      </c>
      <c r="D212" s="43">
        <f>ROUND(SUMIF(RV_DATA!V201:'RV_DATA'!V256, 627052080, RV_DATA!I201:'RV_DATA'!I256), 6)</f>
        <v>6.8319999999999999</v>
      </c>
      <c r="E212" s="50">
        <f>ROUND(RV_DATA!K216, 6)</f>
        <v>1436.5</v>
      </c>
      <c r="F212" s="50">
        <f>ROUND(SUMIF(RV_DATA!V201:'RV_DATA'!V256, 627052080, RV_DATA!M201:'RV_DATA'!M256), 6)</f>
        <v>9814.2900000000009</v>
      </c>
      <c r="Q212">
        <v>3</v>
      </c>
    </row>
    <row r="213" spans="1:17" ht="57" x14ac:dyDescent="0.2">
      <c r="A213" s="49" t="s">
        <v>541</v>
      </c>
      <c r="B213" s="42" t="s">
        <v>543</v>
      </c>
      <c r="C213" s="42" t="s">
        <v>121</v>
      </c>
      <c r="D213" s="43">
        <f>ROUND(SUMIF(RV_DATA!V201:'RV_DATA'!V256, -1431842482, RV_DATA!I201:'RV_DATA'!I256), 6)</f>
        <v>197.65960000000001</v>
      </c>
      <c r="E213" s="50">
        <f>ROUND(RV_DATA!K245, 6)</f>
        <v>16.09</v>
      </c>
      <c r="F213" s="50">
        <f>ROUND(SUMIF(RV_DATA!V201:'RV_DATA'!V256, -1431842482, RV_DATA!M201:'RV_DATA'!M256), 6)</f>
        <v>3180.36</v>
      </c>
      <c r="Q213">
        <v>3</v>
      </c>
    </row>
    <row r="214" spans="1:17" ht="57" x14ac:dyDescent="0.2">
      <c r="A214" s="49" t="s">
        <v>544</v>
      </c>
      <c r="B214" s="42" t="s">
        <v>546</v>
      </c>
      <c r="C214" s="42" t="s">
        <v>121</v>
      </c>
      <c r="D214" s="43">
        <f>ROUND(SUMIF(RV_DATA!V201:'RV_DATA'!V256, 2025847436, RV_DATA!I201:'RV_DATA'!I256), 6)</f>
        <v>197.65960000000001</v>
      </c>
      <c r="E214" s="50">
        <f>ROUND(RV_DATA!K244, 6)</f>
        <v>32.99</v>
      </c>
      <c r="F214" s="50">
        <f>ROUND(SUMIF(RV_DATA!V201:'RV_DATA'!V256, 2025847436, RV_DATA!M201:'RV_DATA'!M256), 6)</f>
        <v>6520.78</v>
      </c>
      <c r="Q214">
        <v>3</v>
      </c>
    </row>
    <row r="215" spans="1:17" ht="42.75" x14ac:dyDescent="0.2">
      <c r="A215" s="49" t="s">
        <v>426</v>
      </c>
      <c r="B215" s="42" t="s">
        <v>428</v>
      </c>
      <c r="C215" s="42" t="s">
        <v>155</v>
      </c>
      <c r="D215" s="43">
        <f>ROUND(SUMIF(RV_DATA!V201:'RV_DATA'!V256, -1263609757, RV_DATA!I201:'RV_DATA'!I256), 6)</f>
        <v>2.4424399999999999</v>
      </c>
      <c r="E215" s="50">
        <f>ROUND(RV_DATA!K215, 6)</f>
        <v>4207.5</v>
      </c>
      <c r="F215" s="50">
        <f>ROUND(SUMIF(RV_DATA!V201:'RV_DATA'!V256, -1263609757, RV_DATA!M201:'RV_DATA'!M256), 6)</f>
        <v>10276.67</v>
      </c>
      <c r="Q215">
        <v>3</v>
      </c>
    </row>
    <row r="216" spans="1:17" ht="28.5" x14ac:dyDescent="0.2">
      <c r="A216" s="49" t="s">
        <v>496</v>
      </c>
      <c r="B216" s="42" t="s">
        <v>498</v>
      </c>
      <c r="C216" s="42" t="s">
        <v>155</v>
      </c>
      <c r="D216" s="43">
        <f>ROUND(SUMIF(RV_DATA!V201:'RV_DATA'!V256, 1991017595, RV_DATA!I201:'RV_DATA'!I256), 6)</f>
        <v>0.23100000000000001</v>
      </c>
      <c r="E216" s="50">
        <f>ROUND(RV_DATA!K202, 6)</f>
        <v>110781.14</v>
      </c>
      <c r="F216" s="50">
        <f>ROUND(SUMIF(RV_DATA!V201:'RV_DATA'!V256, 1991017595, RV_DATA!M201:'RV_DATA'!M256), 6)</f>
        <v>25590.18</v>
      </c>
      <c r="Q216">
        <v>3</v>
      </c>
    </row>
    <row r="217" spans="1:17" ht="28.5" x14ac:dyDescent="0.2">
      <c r="A217" s="49" t="s">
        <v>616</v>
      </c>
      <c r="B217" s="42" t="s">
        <v>618</v>
      </c>
      <c r="C217" s="42" t="s">
        <v>289</v>
      </c>
      <c r="D217" s="43">
        <f>ROUND(SUMIF(RV_DATA!V201:'RV_DATA'!V256, -74495873, RV_DATA!I201:'RV_DATA'!I256), 6)</f>
        <v>458.78</v>
      </c>
      <c r="E217" s="50">
        <f>ROUND(RV_DATA!K243, 6)</f>
        <v>463.15</v>
      </c>
      <c r="F217" s="50">
        <f>ROUND(SUMIF(RV_DATA!V201:'RV_DATA'!V256, -74495873, RV_DATA!M201:'RV_DATA'!M256), 6)</f>
        <v>212483.98</v>
      </c>
      <c r="Q217">
        <v>3</v>
      </c>
    </row>
    <row r="218" spans="1:17" ht="42.75" x14ac:dyDescent="0.2">
      <c r="A218" s="49" t="s">
        <v>619</v>
      </c>
      <c r="B218" s="42" t="s">
        <v>621</v>
      </c>
      <c r="C218" s="42" t="s">
        <v>121</v>
      </c>
      <c r="D218" s="43">
        <f>ROUND(SUMIF(RV_DATA!V201:'RV_DATA'!V256, 1904884534, RV_DATA!I201:'RV_DATA'!I256), 6)</f>
        <v>395.36439999999999</v>
      </c>
      <c r="E218" s="50">
        <f>ROUND(RV_DATA!K242, 6)</f>
        <v>32.47</v>
      </c>
      <c r="F218" s="50">
        <f>ROUND(SUMIF(RV_DATA!V201:'RV_DATA'!V256, 1904884534, RV_DATA!M201:'RV_DATA'!M256), 6)</f>
        <v>12837.48</v>
      </c>
      <c r="Q218">
        <v>3</v>
      </c>
    </row>
    <row r="219" spans="1:17" ht="14.25" x14ac:dyDescent="0.2">
      <c r="A219" s="49" t="s">
        <v>487</v>
      </c>
      <c r="B219" s="42" t="s">
        <v>489</v>
      </c>
      <c r="C219" s="42" t="s">
        <v>35</v>
      </c>
      <c r="D219" s="43">
        <f>ROUND(SUMIF(RV_DATA!V201:'RV_DATA'!V256, 1411454429, RV_DATA!I201:'RV_DATA'!I256), 6)</f>
        <v>1.7934000000000001</v>
      </c>
      <c r="E219" s="50">
        <f>ROUND(RV_DATA!K214, 6)</f>
        <v>35.25</v>
      </c>
      <c r="F219" s="50">
        <f>ROUND(SUMIF(RV_DATA!V201:'RV_DATA'!V256, 1411454429, RV_DATA!M201:'RV_DATA'!M256), 6)</f>
        <v>63.44</v>
      </c>
      <c r="Q219">
        <v>3</v>
      </c>
    </row>
    <row r="220" spans="1:17" ht="42.75" x14ac:dyDescent="0.2">
      <c r="A220" s="49" t="s">
        <v>553</v>
      </c>
      <c r="B220" s="42" t="s">
        <v>555</v>
      </c>
      <c r="C220" s="42" t="s">
        <v>556</v>
      </c>
      <c r="D220" s="43">
        <f>ROUND(SUMIF(RV_DATA!V201:'RV_DATA'!V256, -1158088069, RV_DATA!I201:'RV_DATA'!I256), 6)</f>
        <v>4.1132</v>
      </c>
      <c r="E220" s="50">
        <f>ROUND(RV_DATA!K241, 6)</f>
        <v>851.18</v>
      </c>
      <c r="F220" s="50">
        <f>ROUND(SUMIF(RV_DATA!V201:'RV_DATA'!V256, -1158088069, RV_DATA!M201:'RV_DATA'!M256), 6)</f>
        <v>3501.06</v>
      </c>
      <c r="Q220">
        <v>3</v>
      </c>
    </row>
    <row r="221" spans="1:17" ht="42.75" x14ac:dyDescent="0.2">
      <c r="A221" s="49" t="s">
        <v>557</v>
      </c>
      <c r="B221" s="42" t="s">
        <v>559</v>
      </c>
      <c r="C221" s="42" t="s">
        <v>121</v>
      </c>
      <c r="D221" s="43">
        <f>ROUND(SUMIF(RV_DATA!V201:'RV_DATA'!V256, 90292372, RV_DATA!I201:'RV_DATA'!I256), 6)</f>
        <v>217.4572</v>
      </c>
      <c r="E221" s="50">
        <f>ROUND(RV_DATA!K240, 6)</f>
        <v>37.46</v>
      </c>
      <c r="F221" s="50">
        <f>ROUND(SUMIF(RV_DATA!V201:'RV_DATA'!V256, 90292372, RV_DATA!M201:'RV_DATA'!M256), 6)</f>
        <v>8145.94</v>
      </c>
      <c r="Q221">
        <v>3</v>
      </c>
    </row>
    <row r="222" spans="1:17" ht="42.75" x14ac:dyDescent="0.2">
      <c r="A222" s="49" t="s">
        <v>560</v>
      </c>
      <c r="B222" s="42" t="s">
        <v>562</v>
      </c>
      <c r="C222" s="42" t="s">
        <v>121</v>
      </c>
      <c r="D222" s="43">
        <f>ROUND(SUMIF(RV_DATA!V201:'RV_DATA'!V256, 319665718, RV_DATA!I201:'RV_DATA'!I256), 6)</f>
        <v>217.4572</v>
      </c>
      <c r="E222" s="50">
        <f>ROUND(RV_DATA!K239, 6)</f>
        <v>153.38999999999999</v>
      </c>
      <c r="F222" s="50">
        <f>ROUND(SUMIF(RV_DATA!V201:'RV_DATA'!V256, 319665718, RV_DATA!M201:'RV_DATA'!M256), 6)</f>
        <v>33355.75</v>
      </c>
      <c r="Q222">
        <v>3</v>
      </c>
    </row>
    <row r="223" spans="1:17" ht="14.25" x14ac:dyDescent="0.2">
      <c r="A223" s="49" t="s">
        <v>511</v>
      </c>
      <c r="B223" s="42" t="s">
        <v>513</v>
      </c>
      <c r="C223" s="42" t="s">
        <v>35</v>
      </c>
      <c r="D223" s="43">
        <f>ROUND(SUMIF(RV_DATA!V201:'RV_DATA'!V256, -833209200, RV_DATA!I201:'RV_DATA'!I256), 6)</f>
        <v>0.68320000000000003</v>
      </c>
      <c r="E223" s="50">
        <f>ROUND(RV_DATA!K212, 6)</f>
        <v>53.38</v>
      </c>
      <c r="F223" s="50">
        <f>ROUND(SUMIF(RV_DATA!V201:'RV_DATA'!V256, -833209200, RV_DATA!M201:'RV_DATA'!M256), 6)</f>
        <v>36.6</v>
      </c>
      <c r="Q223">
        <v>3</v>
      </c>
    </row>
    <row r="224" spans="1:17" ht="14.25" x14ac:dyDescent="0.2">
      <c r="A224" s="49" t="s">
        <v>514</v>
      </c>
      <c r="B224" s="42" t="s">
        <v>516</v>
      </c>
      <c r="C224" s="42" t="s">
        <v>35</v>
      </c>
      <c r="D224" s="43">
        <f>ROUND(SUMIF(RV_DATA!V201:'RV_DATA'!V256, 1367485125, RV_DATA!I201:'RV_DATA'!I256), 6)</f>
        <v>0.33733000000000002</v>
      </c>
      <c r="E224" s="50">
        <f>ROUND(RV_DATA!K211, 6)</f>
        <v>32.520000000000003</v>
      </c>
      <c r="F224" s="50">
        <f>ROUND(SUMIF(RV_DATA!V201:'RV_DATA'!V256, 1367485125, RV_DATA!M201:'RV_DATA'!M256), 6)</f>
        <v>10.98</v>
      </c>
      <c r="Q224">
        <v>3</v>
      </c>
    </row>
    <row r="225" spans="1:17" ht="57" x14ac:dyDescent="0.2">
      <c r="A225" s="49" t="s">
        <v>613</v>
      </c>
      <c r="B225" s="42" t="s">
        <v>615</v>
      </c>
      <c r="C225" s="42" t="s">
        <v>155</v>
      </c>
      <c r="D225" s="43">
        <f>ROUND(SUMIF(RV_DATA!V201:'RV_DATA'!V256, 1323940177, RV_DATA!I201:'RV_DATA'!I256), 6)</f>
        <v>5.1076000000000003E-2</v>
      </c>
      <c r="E225" s="50">
        <f>ROUND(RV_DATA!K235, 6)</f>
        <v>68627.56</v>
      </c>
      <c r="F225" s="50">
        <f>ROUND(SUMIF(RV_DATA!V201:'RV_DATA'!V256, 1323940177, RV_DATA!M201:'RV_DATA'!M256), 6)</f>
        <v>3505.21</v>
      </c>
      <c r="Q225">
        <v>3</v>
      </c>
    </row>
    <row r="226" spans="1:17" ht="28.5" x14ac:dyDescent="0.2">
      <c r="A226" s="49" t="s">
        <v>532</v>
      </c>
      <c r="B226" s="42" t="s">
        <v>534</v>
      </c>
      <c r="C226" s="42" t="s">
        <v>474</v>
      </c>
      <c r="D226" s="43">
        <f>ROUND(SUMIF(RV_DATA!V201:'RV_DATA'!V256, -691472310, RV_DATA!I201:'RV_DATA'!I256), 6)</f>
        <v>30.736000000000001</v>
      </c>
      <c r="E226" s="50">
        <f>ROUND(RV_DATA!K234, 6)</f>
        <v>78.180000000000007</v>
      </c>
      <c r="F226" s="50">
        <f>ROUND(SUMIF(RV_DATA!V201:'RV_DATA'!V256, -691472310, RV_DATA!M201:'RV_DATA'!M256), 6)</f>
        <v>2402.92</v>
      </c>
      <c r="Q226">
        <v>3</v>
      </c>
    </row>
    <row r="227" spans="1:17" ht="28.5" x14ac:dyDescent="0.2">
      <c r="A227" s="49" t="s">
        <v>628</v>
      </c>
      <c r="B227" s="42" t="s">
        <v>630</v>
      </c>
      <c r="C227" s="42" t="s">
        <v>631</v>
      </c>
      <c r="D227" s="43">
        <f>ROUND(SUMIF(RV_DATA!V201:'RV_DATA'!V256, -651459537, RV_DATA!I201:'RV_DATA'!I256), 6)</f>
        <v>6.0000000000000001E-3</v>
      </c>
      <c r="E227" s="50">
        <f>ROUND(RV_DATA!K255, 6)</f>
        <v>450.82</v>
      </c>
      <c r="F227" s="50">
        <f>ROUND(SUMIF(RV_DATA!V201:'RV_DATA'!V256, -651459537, RV_DATA!M201:'RV_DATA'!M256), 6)</f>
        <v>2.7</v>
      </c>
      <c r="Q227">
        <v>3</v>
      </c>
    </row>
    <row r="228" spans="1:17" ht="28.5" x14ac:dyDescent="0.2">
      <c r="A228" s="49" t="s">
        <v>563</v>
      </c>
      <c r="B228" s="42" t="s">
        <v>565</v>
      </c>
      <c r="C228" s="42" t="s">
        <v>556</v>
      </c>
      <c r="D228" s="43">
        <f>ROUND(SUMIF(RV_DATA!V201:'RV_DATA'!V256, -1907681163, RV_DATA!I201:'RV_DATA'!I256), 6)</f>
        <v>24.679200000000002</v>
      </c>
      <c r="E228" s="50">
        <f>ROUND(RV_DATA!K238, 6)</f>
        <v>241.19</v>
      </c>
      <c r="F228" s="50">
        <f>ROUND(SUMIF(RV_DATA!V201:'RV_DATA'!V256, -1907681163, RV_DATA!M201:'RV_DATA'!M256), 6)</f>
        <v>5952.39</v>
      </c>
      <c r="Q228">
        <v>3</v>
      </c>
    </row>
    <row r="229" spans="1:17" ht="28.5" x14ac:dyDescent="0.2">
      <c r="A229" s="49" t="s">
        <v>566</v>
      </c>
      <c r="B229" s="42" t="s">
        <v>568</v>
      </c>
      <c r="C229" s="42" t="s">
        <v>121</v>
      </c>
      <c r="D229" s="43">
        <f>ROUND(SUMIF(RV_DATA!V201:'RV_DATA'!V256, 1475264531, RV_DATA!I201:'RV_DATA'!I256), 6)</f>
        <v>217.4572</v>
      </c>
      <c r="E229" s="50">
        <f>ROUND(RV_DATA!K237, 6)</f>
        <v>69.680000000000007</v>
      </c>
      <c r="F229" s="50">
        <f>ROUND(SUMIF(RV_DATA!V201:'RV_DATA'!V256, 1475264531, RV_DATA!M201:'RV_DATA'!M256), 6)</f>
        <v>15152.4</v>
      </c>
      <c r="Q229">
        <v>3</v>
      </c>
    </row>
    <row r="230" spans="1:17" ht="28.5" x14ac:dyDescent="0.2">
      <c r="A230" s="49" t="s">
        <v>569</v>
      </c>
      <c r="B230" s="42" t="s">
        <v>571</v>
      </c>
      <c r="C230" s="42" t="s">
        <v>121</v>
      </c>
      <c r="D230" s="43">
        <f>ROUND(SUMIF(RV_DATA!V201:'RV_DATA'!V256, -1294930295, RV_DATA!I201:'RV_DATA'!I256), 6)</f>
        <v>217.4572</v>
      </c>
      <c r="E230" s="50">
        <f>ROUND(RV_DATA!K236, 6)</f>
        <v>149.85</v>
      </c>
      <c r="F230" s="50">
        <f>ROUND(SUMIF(RV_DATA!V201:'RV_DATA'!V256, -1294930295, RV_DATA!M201:'RV_DATA'!M256), 6)</f>
        <v>32585.95</v>
      </c>
      <c r="Q230">
        <v>3</v>
      </c>
    </row>
    <row r="231" spans="1:17" ht="28.5" x14ac:dyDescent="0.2">
      <c r="A231" s="49" t="s">
        <v>595</v>
      </c>
      <c r="B231" s="42" t="s">
        <v>597</v>
      </c>
      <c r="C231" s="42" t="s">
        <v>198</v>
      </c>
      <c r="D231" s="43">
        <f>ROUND(SUMIF(RV_DATA!V201:'RV_DATA'!V256, -886970170, RV_DATA!I201:'RV_DATA'!I256), 6)</f>
        <v>6.468</v>
      </c>
      <c r="E231" s="50">
        <f>ROUND(RV_DATA!K201, 6)</f>
        <v>16.54</v>
      </c>
      <c r="F231" s="50">
        <f>ROUND(SUMIF(RV_DATA!V201:'RV_DATA'!V256, -886970170, RV_DATA!M201:'RV_DATA'!M256), 6)</f>
        <v>106.26</v>
      </c>
      <c r="Q231">
        <v>3</v>
      </c>
    </row>
    <row r="232" spans="1:17" ht="28.5" x14ac:dyDescent="0.2">
      <c r="A232" s="49" t="s">
        <v>625</v>
      </c>
      <c r="B232" s="42" t="s">
        <v>627</v>
      </c>
      <c r="C232" s="42" t="s">
        <v>198</v>
      </c>
      <c r="D232" s="43">
        <f>ROUND(SUMIF(RV_DATA!V201:'RV_DATA'!V256, -1522466090, RV_DATA!I201:'RV_DATA'!I256), 6)</f>
        <v>1</v>
      </c>
      <c r="E232" s="50">
        <f>ROUND(RV_DATA!K249, 6)</f>
        <v>10238.299999999999</v>
      </c>
      <c r="F232" s="50">
        <f>ROUND(SUMIF(RV_DATA!V201:'RV_DATA'!V256, -1522466090, RV_DATA!M201:'RV_DATA'!M256), 6)</f>
        <v>10238.299999999999</v>
      </c>
      <c r="Q232">
        <v>3</v>
      </c>
    </row>
    <row r="233" spans="1:17" ht="15" x14ac:dyDescent="0.25">
      <c r="A233" s="85" t="s">
        <v>778</v>
      </c>
      <c r="B233" s="85"/>
      <c r="C233" s="85"/>
      <c r="D233" s="85"/>
      <c r="E233" s="86">
        <f>SUMIF(Q203:Q232, 3, F203:F232)</f>
        <v>721556.98999999976</v>
      </c>
      <c r="F233" s="86"/>
    </row>
    <row r="234" spans="1:17" ht="16.5" x14ac:dyDescent="0.2">
      <c r="A234" s="76" t="str">
        <f>CONCATENATE("Раздел: ",IF(Source!G600&lt;&gt;"Новый раздел", Source!G600, ""))</f>
        <v>Раздел: Асфальт</v>
      </c>
      <c r="B234" s="77"/>
      <c r="C234" s="77"/>
      <c r="D234" s="77"/>
      <c r="E234" s="77"/>
      <c r="F234" s="77"/>
    </row>
    <row r="235" spans="1:17" ht="16.5" x14ac:dyDescent="0.2">
      <c r="A235" s="76" t="str">
        <f>CONCATENATE("Подраздел: ",IF(Source!G604&lt;&gt;"Новый подраздел", Source!G604, ""))</f>
        <v>Подраздел: Строительные работы</v>
      </c>
      <c r="B235" s="77"/>
      <c r="C235" s="77"/>
      <c r="D235" s="77"/>
      <c r="E235" s="77"/>
      <c r="F235" s="77"/>
    </row>
    <row r="236" spans="1:17" ht="14.25" x14ac:dyDescent="0.2">
      <c r="A236" s="83" t="s">
        <v>775</v>
      </c>
      <c r="B236" s="84"/>
      <c r="C236" s="84"/>
      <c r="D236" s="84"/>
      <c r="E236" s="84"/>
      <c r="F236" s="84"/>
    </row>
    <row r="237" spans="1:17" ht="28.5" x14ac:dyDescent="0.2">
      <c r="A237" s="49" t="s">
        <v>582</v>
      </c>
      <c r="B237" s="42" t="s">
        <v>584</v>
      </c>
      <c r="C237" s="42" t="s">
        <v>393</v>
      </c>
      <c r="D237" s="43">
        <f>ROUND(SUMIF(RV_DATA!V259:'RV_DATA'!V274, -277318978, RV_DATA!I259:'RV_DATA'!I274), 6)</f>
        <v>31.02</v>
      </c>
      <c r="E237" s="50">
        <f>ROUND(RV_DATA!K265, 6)</f>
        <v>470.71</v>
      </c>
      <c r="F237" s="50">
        <f>ROUND(SUMIF(RV_DATA!V259:'RV_DATA'!V274, -277318978, RV_DATA!M259:'RV_DATA'!M274), 6)</f>
        <v>14600.55</v>
      </c>
      <c r="Q237">
        <v>2</v>
      </c>
    </row>
    <row r="238" spans="1:17" ht="28.5" x14ac:dyDescent="0.2">
      <c r="A238" s="49" t="s">
        <v>412</v>
      </c>
      <c r="B238" s="42" t="s">
        <v>414</v>
      </c>
      <c r="C238" s="42" t="s">
        <v>393</v>
      </c>
      <c r="D238" s="43">
        <f>ROUND(SUMIF(RV_DATA!V259:'RV_DATA'!V274, 158304140, RV_DATA!I259:'RV_DATA'!I274), 6)</f>
        <v>7.6596209999999996</v>
      </c>
      <c r="E238" s="50">
        <f>ROUND(RV_DATA!K271, 6)</f>
        <v>744.2</v>
      </c>
      <c r="F238" s="50">
        <f>ROUND(SUMIF(RV_DATA!V259:'RV_DATA'!V274, 158304140, RV_DATA!M259:'RV_DATA'!M274), 6)</f>
        <v>5700.31</v>
      </c>
      <c r="Q238">
        <v>2</v>
      </c>
    </row>
    <row r="239" spans="1:17" ht="14.25" x14ac:dyDescent="0.2">
      <c r="A239" s="49" t="s">
        <v>441</v>
      </c>
      <c r="B239" s="42" t="s">
        <v>443</v>
      </c>
      <c r="C239" s="42" t="s">
        <v>393</v>
      </c>
      <c r="D239" s="43">
        <f>ROUND(SUMIF(RV_DATA!V259:'RV_DATA'!V274, 1723114365, RV_DATA!I259:'RV_DATA'!I274), 6)</f>
        <v>8.9917289999999994</v>
      </c>
      <c r="E239" s="50">
        <f>ROUND(RV_DATA!K270, 6)</f>
        <v>1977.07</v>
      </c>
      <c r="F239" s="50">
        <f>ROUND(SUMIF(RV_DATA!V259:'RV_DATA'!V274, 1723114365, RV_DATA!M259:'RV_DATA'!M274), 6)</f>
        <v>17777.310000000001</v>
      </c>
      <c r="Q239">
        <v>2</v>
      </c>
    </row>
    <row r="240" spans="1:17" ht="42.75" x14ac:dyDescent="0.2">
      <c r="A240" s="49" t="s">
        <v>633</v>
      </c>
      <c r="B240" s="42" t="s">
        <v>635</v>
      </c>
      <c r="C240" s="42" t="s">
        <v>393</v>
      </c>
      <c r="D240" s="43">
        <f>ROUND(SUMIF(RV_DATA!V259:'RV_DATA'!V274, 131468512, RV_DATA!I259:'RV_DATA'!I274), 6)</f>
        <v>11.75</v>
      </c>
      <c r="E240" s="50">
        <f>ROUND(RV_DATA!K264, 6)</f>
        <v>1090.94</v>
      </c>
      <c r="F240" s="50">
        <f>ROUND(SUMIF(RV_DATA!V259:'RV_DATA'!V274, 131468512, RV_DATA!M259:'RV_DATA'!M274), 6)</f>
        <v>12819.25</v>
      </c>
      <c r="Q240">
        <v>2</v>
      </c>
    </row>
    <row r="241" spans="1:17" ht="14.25" x14ac:dyDescent="0.2">
      <c r="A241" s="49" t="s">
        <v>420</v>
      </c>
      <c r="B241" s="42" t="s">
        <v>422</v>
      </c>
      <c r="C241" s="42" t="s">
        <v>393</v>
      </c>
      <c r="D241" s="43">
        <f>ROUND(SUMIF(RV_DATA!V259:'RV_DATA'!V274, 456524966, RV_DATA!I259:'RV_DATA'!I274), 6)</f>
        <v>15.097224000000001</v>
      </c>
      <c r="E241" s="50">
        <f>ROUND(RV_DATA!K269, 6)</f>
        <v>3.75</v>
      </c>
      <c r="F241" s="50">
        <f>ROUND(SUMIF(RV_DATA!V259:'RV_DATA'!V274, 456524966, RV_DATA!M259:'RV_DATA'!M274), 6)</f>
        <v>56.62</v>
      </c>
      <c r="Q241">
        <v>2</v>
      </c>
    </row>
    <row r="242" spans="1:17" ht="14.25" x14ac:dyDescent="0.2">
      <c r="A242" s="49" t="s">
        <v>415</v>
      </c>
      <c r="B242" s="42" t="s">
        <v>417</v>
      </c>
      <c r="C242" s="42" t="s">
        <v>393</v>
      </c>
      <c r="D242" s="43">
        <f>ROUND(SUMIF(RV_DATA!V259:'RV_DATA'!V274, 975003665, RV_DATA!I259:'RV_DATA'!I274), 6)</f>
        <v>31.02</v>
      </c>
      <c r="E242" s="50">
        <f>ROUND(RV_DATA!K263, 6)</f>
        <v>6.02</v>
      </c>
      <c r="F242" s="50">
        <f>ROUND(SUMIF(RV_DATA!V259:'RV_DATA'!V274, 975003665, RV_DATA!M259:'RV_DATA'!M274), 6)</f>
        <v>185.65</v>
      </c>
      <c r="Q242">
        <v>2</v>
      </c>
    </row>
    <row r="243" spans="1:17" ht="42.75" x14ac:dyDescent="0.2">
      <c r="A243" s="49" t="s">
        <v>636</v>
      </c>
      <c r="B243" s="42" t="s">
        <v>638</v>
      </c>
      <c r="C243" s="42" t="s">
        <v>393</v>
      </c>
      <c r="D243" s="43">
        <f>ROUND(SUMIF(RV_DATA!V259:'RV_DATA'!V274, 1869540202, RV_DATA!I259:'RV_DATA'!I274), 6)</f>
        <v>20.914999999999999</v>
      </c>
      <c r="E243" s="50">
        <f>ROUND(RV_DATA!K262, 6)</f>
        <v>829.85</v>
      </c>
      <c r="F243" s="50">
        <f>ROUND(SUMIF(RV_DATA!V259:'RV_DATA'!V274, 1869540202, RV_DATA!M259:'RV_DATA'!M274), 6)</f>
        <v>17357.099999999999</v>
      </c>
      <c r="Q243">
        <v>2</v>
      </c>
    </row>
    <row r="244" spans="1:17" ht="15" x14ac:dyDescent="0.25">
      <c r="A244" s="85" t="s">
        <v>776</v>
      </c>
      <c r="B244" s="85"/>
      <c r="C244" s="85"/>
      <c r="D244" s="85"/>
      <c r="E244" s="86">
        <f>SUMIF(Q237:Q243, 2, F237:F243)</f>
        <v>68496.790000000008</v>
      </c>
      <c r="F244" s="86"/>
    </row>
    <row r="245" spans="1:17" ht="14.25" x14ac:dyDescent="0.2">
      <c r="A245" s="83" t="s">
        <v>777</v>
      </c>
      <c r="B245" s="84"/>
      <c r="C245" s="84"/>
      <c r="D245" s="84"/>
      <c r="E245" s="84"/>
      <c r="F245" s="84"/>
    </row>
    <row r="246" spans="1:17" ht="42.75" x14ac:dyDescent="0.2">
      <c r="A246" s="49" t="s">
        <v>444</v>
      </c>
      <c r="B246" s="42" t="s">
        <v>446</v>
      </c>
      <c r="C246" s="42" t="s">
        <v>155</v>
      </c>
      <c r="D246" s="43">
        <f>ROUND(SUMIF(RV_DATA!V259:'RV_DATA'!V274, 1595178378, RV_DATA!I259:'RV_DATA'!I274), 6)</f>
        <v>0.76596200000000003</v>
      </c>
      <c r="E246" s="50">
        <f>ROUND(RV_DATA!K268, 6)</f>
        <v>36258.75</v>
      </c>
      <c r="F246" s="50">
        <f>ROUND(SUMIF(RV_DATA!V259:'RV_DATA'!V274, 1595178378, RV_DATA!M259:'RV_DATA'!M274), 6)</f>
        <v>27772.79</v>
      </c>
      <c r="Q246">
        <v>3</v>
      </c>
    </row>
    <row r="247" spans="1:17" ht="42.75" x14ac:dyDescent="0.2">
      <c r="A247" s="49" t="s">
        <v>447</v>
      </c>
      <c r="B247" s="42" t="s">
        <v>449</v>
      </c>
      <c r="C247" s="42" t="s">
        <v>35</v>
      </c>
      <c r="D247" s="43">
        <f>ROUND(SUMIF(RV_DATA!V259:'RV_DATA'!V274, 1332636129, RV_DATA!I259:'RV_DATA'!I274), 6)</f>
        <v>0.111009</v>
      </c>
      <c r="E247" s="50">
        <f>ROUND(RV_DATA!K267, 6)</f>
        <v>7064.05</v>
      </c>
      <c r="F247" s="50">
        <f>ROUND(SUMIF(RV_DATA!V259:'RV_DATA'!V274, 1332636129, RV_DATA!M259:'RV_DATA'!M274), 6)</f>
        <v>784.17</v>
      </c>
      <c r="Q247">
        <v>3</v>
      </c>
    </row>
    <row r="248" spans="1:17" ht="71.25" x14ac:dyDescent="0.2">
      <c r="A248" s="49" t="s">
        <v>639</v>
      </c>
      <c r="B248" s="42" t="s">
        <v>641</v>
      </c>
      <c r="C248" s="42" t="s">
        <v>35</v>
      </c>
      <c r="D248" s="43">
        <f>ROUND(SUMIF(RV_DATA!V259:'RV_DATA'!V274, -1258475170, RV_DATA!I259:'RV_DATA'!I274), 6)</f>
        <v>13.865</v>
      </c>
      <c r="E248" s="50">
        <f>ROUND(RV_DATA!K261, 6)</f>
        <v>3694.66</v>
      </c>
      <c r="F248" s="50">
        <f>ROUND(SUMIF(RV_DATA!V259:'RV_DATA'!V274, -1258475170, RV_DATA!M259:'RV_DATA'!M274), 6)</f>
        <v>51225.3</v>
      </c>
      <c r="Q248">
        <v>3</v>
      </c>
    </row>
    <row r="249" spans="1:17" ht="14.25" x14ac:dyDescent="0.2">
      <c r="A249" s="49" t="s">
        <v>642</v>
      </c>
      <c r="B249" s="42" t="s">
        <v>644</v>
      </c>
      <c r="C249" s="42" t="s">
        <v>35</v>
      </c>
      <c r="D249" s="43">
        <f>ROUND(SUMIF(RV_DATA!V259:'RV_DATA'!V274, 1066234070, RV_DATA!I259:'RV_DATA'!I274), 6)</f>
        <v>0.14099999999999999</v>
      </c>
      <c r="E249" s="50">
        <f>ROUND(RV_DATA!K260, 6)</f>
        <v>3392.59</v>
      </c>
      <c r="F249" s="50">
        <f>ROUND(SUMIF(RV_DATA!V259:'RV_DATA'!V274, 1066234070, RV_DATA!M259:'RV_DATA'!M274), 6)</f>
        <v>479.4</v>
      </c>
      <c r="Q249">
        <v>3</v>
      </c>
    </row>
    <row r="250" spans="1:17" ht="42.75" x14ac:dyDescent="0.2">
      <c r="A250" s="49" t="s">
        <v>450</v>
      </c>
      <c r="B250" s="42" t="s">
        <v>452</v>
      </c>
      <c r="C250" s="42" t="s">
        <v>155</v>
      </c>
      <c r="D250" s="43">
        <f>ROUND(SUMIF(RV_DATA!V259:'RV_DATA'!V274, 1846978656, RV_DATA!I259:'RV_DATA'!I274), 6)</f>
        <v>77.151255000000006</v>
      </c>
      <c r="E250" s="50">
        <f>ROUND(RV_DATA!K266, 6)</f>
        <v>2562.79</v>
      </c>
      <c r="F250" s="50">
        <f>ROUND(SUMIF(RV_DATA!V259:'RV_DATA'!V274, 1846978656, RV_DATA!M259:'RV_DATA'!M274), 6)</f>
        <v>197722.46</v>
      </c>
      <c r="Q250">
        <v>3</v>
      </c>
    </row>
    <row r="251" spans="1:17" ht="28.5" x14ac:dyDescent="0.2">
      <c r="A251" s="49" t="s">
        <v>645</v>
      </c>
      <c r="B251" s="42" t="s">
        <v>647</v>
      </c>
      <c r="C251" s="42" t="s">
        <v>35</v>
      </c>
      <c r="D251" s="43">
        <f>ROUND(SUMIF(RV_DATA!V259:'RV_DATA'!V274, -2047498075, RV_DATA!I259:'RV_DATA'!I274), 6)</f>
        <v>10.246</v>
      </c>
      <c r="E251" s="50">
        <f>ROUND(RV_DATA!K259, 6)</f>
        <v>7833.01</v>
      </c>
      <c r="F251" s="50">
        <f>ROUND(SUMIF(RV_DATA!V259:'RV_DATA'!V274, -2047498075, RV_DATA!M259:'RV_DATA'!M274), 6)</f>
        <v>80257.2</v>
      </c>
      <c r="Q251">
        <v>3</v>
      </c>
    </row>
    <row r="252" spans="1:17" ht="15" x14ac:dyDescent="0.25">
      <c r="A252" s="85" t="s">
        <v>778</v>
      </c>
      <c r="B252" s="85"/>
      <c r="C252" s="85"/>
      <c r="D252" s="85"/>
      <c r="E252" s="86">
        <f>SUMIF(Q246:Q251, 3, F246:F251)</f>
        <v>358241.32</v>
      </c>
      <c r="F252" s="86"/>
    </row>
    <row r="253" spans="1:17" ht="16.5" x14ac:dyDescent="0.2">
      <c r="A253" s="76" t="str">
        <f>CONCATENATE("Раздел: ",IF(Source!G672&lt;&gt;"Новый раздел", Source!G672, ""))</f>
        <v>Раздел: Хавская ул., д. 15 стр. 1-2</v>
      </c>
      <c r="B253" s="77"/>
      <c r="C253" s="77"/>
      <c r="D253" s="77"/>
      <c r="E253" s="77"/>
      <c r="F253" s="77"/>
    </row>
    <row r="254" spans="1:17" ht="16.5" x14ac:dyDescent="0.2">
      <c r="A254" s="76" t="str">
        <f>CONCATENATE("Раздел: ",IF(Source!G706&lt;&gt;"Новый раздел", Source!G706, ""))</f>
        <v>Раздел: Контейнерная площадка</v>
      </c>
      <c r="B254" s="77"/>
      <c r="C254" s="77"/>
      <c r="D254" s="77"/>
      <c r="E254" s="77"/>
      <c r="F254" s="77"/>
    </row>
    <row r="255" spans="1:17" ht="16.5" x14ac:dyDescent="0.2">
      <c r="A255" s="76" t="str">
        <f>CONCATENATE("Подраздел: ",IF(Source!G710&lt;&gt;"Новый подраздел", Source!G710, ""))</f>
        <v>Подраздел: Демонтажные работы</v>
      </c>
      <c r="B255" s="77"/>
      <c r="C255" s="77"/>
      <c r="D255" s="77"/>
      <c r="E255" s="77"/>
      <c r="F255" s="77"/>
    </row>
    <row r="256" spans="1:17" ht="14.25" x14ac:dyDescent="0.2">
      <c r="A256" s="83" t="s">
        <v>775</v>
      </c>
      <c r="B256" s="84"/>
      <c r="C256" s="84"/>
      <c r="D256" s="84"/>
      <c r="E256" s="84"/>
      <c r="F256" s="84"/>
    </row>
    <row r="257" spans="1:17" ht="57" x14ac:dyDescent="0.2">
      <c r="A257" s="49" t="s">
        <v>390</v>
      </c>
      <c r="B257" s="42" t="s">
        <v>392</v>
      </c>
      <c r="C257" s="42" t="s">
        <v>393</v>
      </c>
      <c r="D257" s="43">
        <f>ROUND(SUMIF(RV_DATA!V278:'RV_DATA'!V282, 953863627, RV_DATA!I278:'RV_DATA'!I282), 6)</f>
        <v>2.9999999999999997E-4</v>
      </c>
      <c r="E257" s="50">
        <f>ROUND(RV_DATA!K281, 6)</f>
        <v>41.19</v>
      </c>
      <c r="F257" s="50">
        <f>ROUND(SUMIF(RV_DATA!V278:'RV_DATA'!V282, 953863627, RV_DATA!M278:'RV_DATA'!M282), 6)</f>
        <v>0.01</v>
      </c>
      <c r="Q257">
        <v>2</v>
      </c>
    </row>
    <row r="258" spans="1:17" ht="28.5" x14ac:dyDescent="0.2">
      <c r="A258" s="49" t="s">
        <v>394</v>
      </c>
      <c r="B258" s="42" t="s">
        <v>396</v>
      </c>
      <c r="C258" s="42" t="s">
        <v>393</v>
      </c>
      <c r="D258" s="43">
        <f>ROUND(SUMIF(RV_DATA!V278:'RV_DATA'!V282, 222750254, RV_DATA!I278:'RV_DATA'!I282), 6)</f>
        <v>3.0000000000000001E-3</v>
      </c>
      <c r="E258" s="50">
        <f>ROUND(RV_DATA!K280, 6)</f>
        <v>27.02</v>
      </c>
      <c r="F258" s="50">
        <f>ROUND(SUMIF(RV_DATA!V278:'RV_DATA'!V282, 222750254, RV_DATA!M278:'RV_DATA'!M282), 6)</f>
        <v>0.08</v>
      </c>
      <c r="Q258">
        <v>2</v>
      </c>
    </row>
    <row r="259" spans="1:17" ht="28.5" x14ac:dyDescent="0.2">
      <c r="A259" s="49" t="s">
        <v>397</v>
      </c>
      <c r="B259" s="42" t="s">
        <v>399</v>
      </c>
      <c r="C259" s="42" t="s">
        <v>393</v>
      </c>
      <c r="D259" s="43">
        <f>ROUND(SUMIF(RV_DATA!V278:'RV_DATA'!V282, -1065957140, RV_DATA!I278:'RV_DATA'!I282), 6)</f>
        <v>4.5150000000000003E-2</v>
      </c>
      <c r="E259" s="50">
        <f>ROUND(RV_DATA!K279, 6)</f>
        <v>4.71</v>
      </c>
      <c r="F259" s="50">
        <f>ROUND(SUMIF(RV_DATA!V278:'RV_DATA'!V282, -1065957140, RV_DATA!M278:'RV_DATA'!M282), 6)</f>
        <v>0.21</v>
      </c>
      <c r="Q259">
        <v>2</v>
      </c>
    </row>
    <row r="260" spans="1:17" ht="28.5" x14ac:dyDescent="0.2">
      <c r="A260" s="49" t="s">
        <v>520</v>
      </c>
      <c r="B260" s="42" t="s">
        <v>522</v>
      </c>
      <c r="C260" s="42" t="s">
        <v>393</v>
      </c>
      <c r="D260" s="43">
        <f>ROUND(SUMIF(RV_DATA!V278:'RV_DATA'!V282, 1844315211, RV_DATA!I278:'RV_DATA'!I282), 6)</f>
        <v>1.2</v>
      </c>
      <c r="E260" s="50">
        <f>ROUND(RV_DATA!K282, 6)</f>
        <v>31</v>
      </c>
      <c r="F260" s="50">
        <f>ROUND(SUMIF(RV_DATA!V278:'RV_DATA'!V282, 1844315211, RV_DATA!M278:'RV_DATA'!M282), 6)</f>
        <v>37.200000000000003</v>
      </c>
      <c r="Q260">
        <v>2</v>
      </c>
    </row>
    <row r="261" spans="1:17" ht="28.5" x14ac:dyDescent="0.2">
      <c r="A261" s="49" t="s">
        <v>400</v>
      </c>
      <c r="B261" s="42" t="s">
        <v>402</v>
      </c>
      <c r="C261" s="42" t="s">
        <v>393</v>
      </c>
      <c r="D261" s="43">
        <f>ROUND(SUMIF(RV_DATA!V278:'RV_DATA'!V282, -272556929, RV_DATA!I278:'RV_DATA'!I282), 6)</f>
        <v>1.6500000000000001E-2</v>
      </c>
      <c r="E261" s="50">
        <f>ROUND(RV_DATA!K278, 6)</f>
        <v>10.39</v>
      </c>
      <c r="F261" s="50">
        <f>ROUND(SUMIF(RV_DATA!V278:'RV_DATA'!V282, -272556929, RV_DATA!M278:'RV_DATA'!M282), 6)</f>
        <v>0.17</v>
      </c>
      <c r="Q261">
        <v>2</v>
      </c>
    </row>
    <row r="262" spans="1:17" ht="15" x14ac:dyDescent="0.25">
      <c r="A262" s="85" t="s">
        <v>776</v>
      </c>
      <c r="B262" s="85"/>
      <c r="C262" s="85"/>
      <c r="D262" s="85"/>
      <c r="E262" s="86">
        <f>SUMIF(Q257:Q261, 2, F257:F261)</f>
        <v>37.67</v>
      </c>
      <c r="F262" s="86"/>
    </row>
    <row r="263" spans="1:17" ht="16.5" x14ac:dyDescent="0.2">
      <c r="A263" s="76" t="str">
        <f>CONCATENATE("Подраздел: ",IF(Source!G748&lt;&gt;"Новый подраздел", Source!G748, ""))</f>
        <v>Подраздел: Строительные работы</v>
      </c>
      <c r="B263" s="77"/>
      <c r="C263" s="77"/>
      <c r="D263" s="77"/>
      <c r="E263" s="77"/>
      <c r="F263" s="77"/>
    </row>
    <row r="264" spans="1:17" ht="14.25" x14ac:dyDescent="0.2">
      <c r="A264" s="83" t="s">
        <v>775</v>
      </c>
      <c r="B264" s="84"/>
      <c r="C264" s="84"/>
      <c r="D264" s="84"/>
      <c r="E264" s="84"/>
      <c r="F264" s="84"/>
    </row>
    <row r="265" spans="1:17" ht="28.5" x14ac:dyDescent="0.2">
      <c r="A265" s="49" t="s">
        <v>412</v>
      </c>
      <c r="B265" s="42" t="s">
        <v>414</v>
      </c>
      <c r="C265" s="42" t="s">
        <v>393</v>
      </c>
      <c r="D265" s="43">
        <f>ROUND(SUMIF(RV_DATA!V284:'RV_DATA'!V297, 158304140, RV_DATA!I284:'RV_DATA'!I297), 6)</f>
        <v>5.5199999999999999E-2</v>
      </c>
      <c r="E265" s="50">
        <f>ROUND(RV_DATA!K289, 6)</f>
        <v>744.2</v>
      </c>
      <c r="F265" s="50">
        <f>ROUND(SUMIF(RV_DATA!V284:'RV_DATA'!V297, 158304140, RV_DATA!M284:'RV_DATA'!M297), 6)</f>
        <v>41.08</v>
      </c>
      <c r="Q265">
        <v>2</v>
      </c>
    </row>
    <row r="266" spans="1:17" ht="14.25" x14ac:dyDescent="0.2">
      <c r="A266" s="49" t="s">
        <v>441</v>
      </c>
      <c r="B266" s="42" t="s">
        <v>443</v>
      </c>
      <c r="C266" s="42" t="s">
        <v>393</v>
      </c>
      <c r="D266" s="43">
        <f>ROUND(SUMIF(RV_DATA!V284:'RV_DATA'!V297, 1723114365, RV_DATA!I284:'RV_DATA'!I297), 6)</f>
        <v>6.4799999999999996E-2</v>
      </c>
      <c r="E266" s="50">
        <f>ROUND(RV_DATA!K288, 6)</f>
        <v>1977.07</v>
      </c>
      <c r="F266" s="50">
        <f>ROUND(SUMIF(RV_DATA!V284:'RV_DATA'!V297, 1723114365, RV_DATA!M284:'RV_DATA'!M297), 6)</f>
        <v>128.11000000000001</v>
      </c>
      <c r="Q266">
        <v>2</v>
      </c>
    </row>
    <row r="267" spans="1:17" ht="14.25" x14ac:dyDescent="0.2">
      <c r="A267" s="49" t="s">
        <v>420</v>
      </c>
      <c r="B267" s="42" t="s">
        <v>422</v>
      </c>
      <c r="C267" s="42" t="s">
        <v>393</v>
      </c>
      <c r="D267" s="43">
        <f>ROUND(SUMIF(RV_DATA!V284:'RV_DATA'!V297, 456524966, RV_DATA!I284:'RV_DATA'!I297), 6)</f>
        <v>0.10879999999999999</v>
      </c>
      <c r="E267" s="50">
        <f>ROUND(RV_DATA!K287, 6)</f>
        <v>3.75</v>
      </c>
      <c r="F267" s="50">
        <f>ROUND(SUMIF(RV_DATA!V284:'RV_DATA'!V297, 456524966, RV_DATA!M284:'RV_DATA'!M297), 6)</f>
        <v>0.4</v>
      </c>
      <c r="Q267">
        <v>2</v>
      </c>
    </row>
    <row r="268" spans="1:17" ht="28.5" x14ac:dyDescent="0.2">
      <c r="A268" s="49" t="s">
        <v>520</v>
      </c>
      <c r="B268" s="42" t="s">
        <v>522</v>
      </c>
      <c r="C268" s="42" t="s">
        <v>393</v>
      </c>
      <c r="D268" s="43">
        <f>ROUND(SUMIF(RV_DATA!V284:'RV_DATA'!V297, 1844315211, RV_DATA!I284:'RV_DATA'!I297), 6)</f>
        <v>9.5</v>
      </c>
      <c r="E268" s="50">
        <f>ROUND(RV_DATA!K296, 6)</f>
        <v>31</v>
      </c>
      <c r="F268" s="50">
        <f>ROUND(SUMIF(RV_DATA!V284:'RV_DATA'!V297, 1844315211, RV_DATA!M284:'RV_DATA'!M297), 6)</f>
        <v>294.5</v>
      </c>
      <c r="Q268">
        <v>2</v>
      </c>
    </row>
    <row r="269" spans="1:17" ht="15" x14ac:dyDescent="0.25">
      <c r="A269" s="85" t="s">
        <v>776</v>
      </c>
      <c r="B269" s="85"/>
      <c r="C269" s="85"/>
      <c r="D269" s="85"/>
      <c r="E269" s="86">
        <f>SUMIF(Q265:Q268, 2, F265:F268)</f>
        <v>464.09000000000003</v>
      </c>
      <c r="F269" s="86"/>
    </row>
    <row r="270" spans="1:17" ht="14.25" x14ac:dyDescent="0.2">
      <c r="A270" s="83" t="s">
        <v>777</v>
      </c>
      <c r="B270" s="84"/>
      <c r="C270" s="84"/>
      <c r="D270" s="84"/>
      <c r="E270" s="84"/>
      <c r="F270" s="84"/>
    </row>
    <row r="271" spans="1:17" ht="28.5" x14ac:dyDescent="0.2">
      <c r="A271" s="49" t="s">
        <v>523</v>
      </c>
      <c r="B271" s="42" t="s">
        <v>525</v>
      </c>
      <c r="C271" s="42" t="s">
        <v>155</v>
      </c>
      <c r="D271" s="43">
        <f>ROUND(SUMIF(RV_DATA!V284:'RV_DATA'!V297, 442495294, RV_DATA!I284:'RV_DATA'!I297), 6)</f>
        <v>1.65E-3</v>
      </c>
      <c r="E271" s="50">
        <f>ROUND(RV_DATA!K295, 6)</f>
        <v>105084.63</v>
      </c>
      <c r="F271" s="50">
        <f>ROUND(SUMIF(RV_DATA!V284:'RV_DATA'!V297, 442495294, RV_DATA!M284:'RV_DATA'!M297), 6)</f>
        <v>173.39</v>
      </c>
      <c r="Q271">
        <v>3</v>
      </c>
    </row>
    <row r="272" spans="1:17" ht="42.75" x14ac:dyDescent="0.2">
      <c r="A272" s="49" t="s">
        <v>444</v>
      </c>
      <c r="B272" s="42" t="s">
        <v>446</v>
      </c>
      <c r="C272" s="42" t="s">
        <v>155</v>
      </c>
      <c r="D272" s="43">
        <f>ROUND(SUMIF(RV_DATA!V284:'RV_DATA'!V297, 1595178378, RV_DATA!I284:'RV_DATA'!I297), 6)</f>
        <v>5.5199999999999997E-3</v>
      </c>
      <c r="E272" s="50">
        <f>ROUND(RV_DATA!K286, 6)</f>
        <v>36258.75</v>
      </c>
      <c r="F272" s="50">
        <f>ROUND(SUMIF(RV_DATA!V284:'RV_DATA'!V297, 1595178378, RV_DATA!M284:'RV_DATA'!M297), 6)</f>
        <v>200.15</v>
      </c>
      <c r="Q272">
        <v>3</v>
      </c>
    </row>
    <row r="273" spans="1:17" ht="28.5" x14ac:dyDescent="0.2">
      <c r="A273" s="49" t="s">
        <v>496</v>
      </c>
      <c r="B273" s="42" t="s">
        <v>498</v>
      </c>
      <c r="C273" s="42" t="s">
        <v>155</v>
      </c>
      <c r="D273" s="43">
        <f>ROUND(SUMIF(RV_DATA!V284:'RV_DATA'!V297, 1991017595, RV_DATA!I284:'RV_DATA'!I297), 6)</f>
        <v>6.9999999999999999E-4</v>
      </c>
      <c r="E273" s="50">
        <f>ROUND(RV_DATA!K294, 6)</f>
        <v>110781.14</v>
      </c>
      <c r="F273" s="50">
        <f>ROUND(SUMIF(RV_DATA!V284:'RV_DATA'!V297, 1991017595, RV_DATA!M284:'RV_DATA'!M297), 6)</f>
        <v>77.55</v>
      </c>
      <c r="Q273">
        <v>3</v>
      </c>
    </row>
    <row r="274" spans="1:17" ht="42.75" x14ac:dyDescent="0.2">
      <c r="A274" s="49" t="s">
        <v>447</v>
      </c>
      <c r="B274" s="42" t="s">
        <v>449</v>
      </c>
      <c r="C274" s="42" t="s">
        <v>35</v>
      </c>
      <c r="D274" s="43">
        <f>ROUND(SUMIF(RV_DATA!V284:'RV_DATA'!V297, 1332636129, RV_DATA!I284:'RV_DATA'!I297), 6)</f>
        <v>8.0000000000000004E-4</v>
      </c>
      <c r="E274" s="50">
        <f>ROUND(RV_DATA!K285, 6)</f>
        <v>7064.05</v>
      </c>
      <c r="F274" s="50">
        <f>ROUND(SUMIF(RV_DATA!V284:'RV_DATA'!V297, 1332636129, RV_DATA!M284:'RV_DATA'!M297), 6)</f>
        <v>5.65</v>
      </c>
      <c r="Q274">
        <v>3</v>
      </c>
    </row>
    <row r="275" spans="1:17" ht="42.75" x14ac:dyDescent="0.2">
      <c r="A275" s="49" t="s">
        <v>450</v>
      </c>
      <c r="B275" s="42" t="s">
        <v>452</v>
      </c>
      <c r="C275" s="42" t="s">
        <v>155</v>
      </c>
      <c r="D275" s="43">
        <f>ROUND(SUMIF(RV_DATA!V284:'RV_DATA'!V297, 1846978656, RV_DATA!I284:'RV_DATA'!I297), 6)</f>
        <v>0.55600000000000005</v>
      </c>
      <c r="E275" s="50">
        <f>ROUND(RV_DATA!K284, 6)</f>
        <v>2562.79</v>
      </c>
      <c r="F275" s="50">
        <f>ROUND(SUMIF(RV_DATA!V284:'RV_DATA'!V297, 1846978656, RV_DATA!M284:'RV_DATA'!M297), 6)</f>
        <v>1424.91</v>
      </c>
      <c r="Q275">
        <v>3</v>
      </c>
    </row>
    <row r="276" spans="1:17" ht="57" x14ac:dyDescent="0.2">
      <c r="A276" s="49" t="s">
        <v>526</v>
      </c>
      <c r="B276" s="42" t="s">
        <v>528</v>
      </c>
      <c r="C276" s="42" t="s">
        <v>155</v>
      </c>
      <c r="D276" s="43">
        <f>ROUND(SUMIF(RV_DATA!V284:'RV_DATA'!V297, -1688827510, RV_DATA!I284:'RV_DATA'!I297), 6)</f>
        <v>0.5</v>
      </c>
      <c r="E276" s="50">
        <f>ROUND(RV_DATA!K293, 6)</f>
        <v>75026.559999999998</v>
      </c>
      <c r="F276" s="50">
        <f>ROUND(SUMIF(RV_DATA!V284:'RV_DATA'!V297, -1688827510, RV_DATA!M284:'RV_DATA'!M297), 6)</f>
        <v>37513.279999999999</v>
      </c>
      <c r="Q276">
        <v>3</v>
      </c>
    </row>
    <row r="277" spans="1:17" ht="28.5" x14ac:dyDescent="0.2">
      <c r="A277" s="49" t="s">
        <v>196</v>
      </c>
      <c r="B277" s="42" t="s">
        <v>349</v>
      </c>
      <c r="C277" s="42" t="s">
        <v>198</v>
      </c>
      <c r="D277" s="43">
        <f>ROUND(SUMIF(RV_DATA!V284:'RV_DATA'!V297, -739249535, RV_DATA!I284:'RV_DATA'!I297), 6)</f>
        <v>0.449208</v>
      </c>
      <c r="E277" s="50">
        <f>ROUND(RV_DATA!K297, 6)</f>
        <v>42340.83</v>
      </c>
      <c r="F277" s="50">
        <f>ROUND(SUMIF(RV_DATA!V284:'RV_DATA'!V297, -739249535, RV_DATA!M284:'RV_DATA'!M297), 6)</f>
        <v>19019.84</v>
      </c>
      <c r="Q277">
        <v>3</v>
      </c>
    </row>
    <row r="278" spans="1:17" ht="15" x14ac:dyDescent="0.25">
      <c r="A278" s="85" t="s">
        <v>778</v>
      </c>
      <c r="B278" s="85"/>
      <c r="C278" s="85"/>
      <c r="D278" s="85"/>
      <c r="E278" s="86">
        <f>SUMIF(Q271:Q277, 3, F271:F277)</f>
        <v>58414.770000000004</v>
      </c>
      <c r="F278" s="86"/>
    </row>
    <row r="279" spans="1:17" ht="16.5" x14ac:dyDescent="0.2">
      <c r="A279" s="76" t="str">
        <f>CONCATENATE("Раздел: ",IF(Source!G817&lt;&gt;"Новый раздел", Source!G817, ""))</f>
        <v>Раздел: Асфальт и борткамень</v>
      </c>
      <c r="B279" s="77"/>
      <c r="C279" s="77"/>
      <c r="D279" s="77"/>
      <c r="E279" s="77"/>
      <c r="F279" s="77"/>
    </row>
    <row r="280" spans="1:17" ht="16.5" x14ac:dyDescent="0.2">
      <c r="A280" s="76" t="str">
        <f>CONCATENATE("Подраздел: ",IF(Source!G821&lt;&gt;"Новый подраздел", Source!G821, ""))</f>
        <v>Подраздел: Спорт площадки</v>
      </c>
      <c r="B280" s="77"/>
      <c r="C280" s="77"/>
      <c r="D280" s="77"/>
      <c r="E280" s="77"/>
      <c r="F280" s="77"/>
    </row>
    <row r="281" spans="1:17" ht="14.25" x14ac:dyDescent="0.2">
      <c r="A281" s="83" t="s">
        <v>775</v>
      </c>
      <c r="B281" s="84"/>
      <c r="C281" s="84"/>
      <c r="D281" s="84"/>
      <c r="E281" s="84"/>
      <c r="F281" s="84"/>
    </row>
    <row r="282" spans="1:17" ht="42.75" x14ac:dyDescent="0.2">
      <c r="A282" s="49" t="s">
        <v>453</v>
      </c>
      <c r="B282" s="42" t="s">
        <v>455</v>
      </c>
      <c r="C282" s="42" t="s">
        <v>393</v>
      </c>
      <c r="D282" s="43">
        <f>ROUND(SUMIF(RV_DATA!V300:'RV_DATA'!V313, -1587432455, RV_DATA!I300:'RV_DATA'!I313), 6)</f>
        <v>9.1872000000000007</v>
      </c>
      <c r="E282" s="50">
        <f>ROUND(RV_DATA!K308, 6)</f>
        <v>531.41</v>
      </c>
      <c r="F282" s="50">
        <f>ROUND(SUMIF(RV_DATA!V300:'RV_DATA'!V313, -1587432455, RV_DATA!M300:'RV_DATA'!M313), 6)</f>
        <v>4882.16</v>
      </c>
      <c r="Q282">
        <v>2</v>
      </c>
    </row>
    <row r="283" spans="1:17" ht="28.5" x14ac:dyDescent="0.2">
      <c r="A283" s="49" t="s">
        <v>456</v>
      </c>
      <c r="B283" s="42" t="s">
        <v>458</v>
      </c>
      <c r="C283" s="42" t="s">
        <v>393</v>
      </c>
      <c r="D283" s="43">
        <f>ROUND(SUMIF(RV_DATA!V300:'RV_DATA'!V313, -2110789947, RV_DATA!I300:'RV_DATA'!I313), 6)</f>
        <v>4.1063999999999998</v>
      </c>
      <c r="E283" s="50">
        <f>ROUND(RV_DATA!K307, 6)</f>
        <v>7.44</v>
      </c>
      <c r="F283" s="50">
        <f>ROUND(SUMIF(RV_DATA!V300:'RV_DATA'!V313, -2110789947, RV_DATA!M300:'RV_DATA'!M313), 6)</f>
        <v>30.55</v>
      </c>
      <c r="Q283">
        <v>2</v>
      </c>
    </row>
    <row r="284" spans="1:17" ht="28.5" x14ac:dyDescent="0.2">
      <c r="A284" s="49" t="s">
        <v>520</v>
      </c>
      <c r="B284" s="42" t="s">
        <v>522</v>
      </c>
      <c r="C284" s="42" t="s">
        <v>393</v>
      </c>
      <c r="D284" s="43">
        <f>ROUND(SUMIF(RV_DATA!V300:'RV_DATA'!V313, 1844315211, RV_DATA!I300:'RV_DATA'!I313), 6)</f>
        <v>2.4</v>
      </c>
      <c r="E284" s="50">
        <f>ROUND(RV_DATA!K312, 6)</f>
        <v>31</v>
      </c>
      <c r="F284" s="50">
        <f>ROUND(SUMIF(RV_DATA!V300:'RV_DATA'!V313, 1844315211, RV_DATA!M300:'RV_DATA'!M313), 6)</f>
        <v>74.400000000000006</v>
      </c>
      <c r="Q284">
        <v>2</v>
      </c>
    </row>
    <row r="285" spans="1:17" ht="28.5" x14ac:dyDescent="0.2">
      <c r="A285" s="49" t="s">
        <v>459</v>
      </c>
      <c r="B285" s="42" t="s">
        <v>461</v>
      </c>
      <c r="C285" s="42" t="s">
        <v>393</v>
      </c>
      <c r="D285" s="43">
        <f>ROUND(SUMIF(RV_DATA!V300:'RV_DATA'!V313, -878210744, RV_DATA!I300:'RV_DATA'!I313), 6)</f>
        <v>3.4799999999999998E-2</v>
      </c>
      <c r="E285" s="50">
        <f>ROUND(RV_DATA!K306, 6)</f>
        <v>616.73</v>
      </c>
      <c r="F285" s="50">
        <f>ROUND(SUMIF(RV_DATA!V300:'RV_DATA'!V313, -878210744, RV_DATA!M300:'RV_DATA'!M313), 6)</f>
        <v>21.47</v>
      </c>
      <c r="Q285">
        <v>2</v>
      </c>
    </row>
    <row r="286" spans="1:17" ht="28.5" x14ac:dyDescent="0.2">
      <c r="A286" s="49" t="s">
        <v>462</v>
      </c>
      <c r="B286" s="42" t="s">
        <v>464</v>
      </c>
      <c r="C286" s="42" t="s">
        <v>393</v>
      </c>
      <c r="D286" s="43">
        <f>ROUND(SUMIF(RV_DATA!V300:'RV_DATA'!V313, 4389697, RV_DATA!I300:'RV_DATA'!I313), 6)</f>
        <v>9.1872000000000007</v>
      </c>
      <c r="E286" s="50">
        <f>ROUND(RV_DATA!K305, 6)</f>
        <v>454.31</v>
      </c>
      <c r="F286" s="50">
        <f>ROUND(SUMIF(RV_DATA!V300:'RV_DATA'!V313, 4389697, RV_DATA!M300:'RV_DATA'!M313), 6)</f>
        <v>4173.84</v>
      </c>
      <c r="Q286">
        <v>2</v>
      </c>
    </row>
    <row r="287" spans="1:17" ht="15" x14ac:dyDescent="0.25">
      <c r="A287" s="85" t="s">
        <v>776</v>
      </c>
      <c r="B287" s="85"/>
      <c r="C287" s="85"/>
      <c r="D287" s="85"/>
      <c r="E287" s="86">
        <f>SUMIF(Q282:Q286, 2, F282:F286)</f>
        <v>9182.42</v>
      </c>
      <c r="F287" s="86"/>
    </row>
    <row r="288" spans="1:17" ht="14.25" x14ac:dyDescent="0.2">
      <c r="A288" s="83" t="s">
        <v>777</v>
      </c>
      <c r="B288" s="84"/>
      <c r="C288" s="84"/>
      <c r="D288" s="84"/>
      <c r="E288" s="84"/>
      <c r="F288" s="84"/>
    </row>
    <row r="289" spans="1:17" ht="28.5" x14ac:dyDescent="0.2">
      <c r="A289" s="49" t="s">
        <v>523</v>
      </c>
      <c r="B289" s="42" t="s">
        <v>525</v>
      </c>
      <c r="C289" s="42" t="s">
        <v>155</v>
      </c>
      <c r="D289" s="43">
        <f>ROUND(SUMIF(RV_DATA!V300:'RV_DATA'!V313, 442495294, RV_DATA!I300:'RV_DATA'!I313), 6)</f>
        <v>5.0000000000000001E-4</v>
      </c>
      <c r="E289" s="50">
        <f>ROUND(RV_DATA!K311, 6)</f>
        <v>105084.63</v>
      </c>
      <c r="F289" s="50">
        <f>ROUND(SUMIF(RV_DATA!V300:'RV_DATA'!V313, 442495294, RV_DATA!M300:'RV_DATA'!M313), 6)</f>
        <v>52.54</v>
      </c>
      <c r="Q289">
        <v>3</v>
      </c>
    </row>
    <row r="290" spans="1:17" ht="28.5" x14ac:dyDescent="0.2">
      <c r="A290" s="49" t="s">
        <v>496</v>
      </c>
      <c r="B290" s="42" t="s">
        <v>498</v>
      </c>
      <c r="C290" s="42" t="s">
        <v>155</v>
      </c>
      <c r="D290" s="43">
        <f>ROUND(SUMIF(RV_DATA!V300:'RV_DATA'!V313, 1991017595, RV_DATA!I300:'RV_DATA'!I313), 6)</f>
        <v>2.0000000000000001E-4</v>
      </c>
      <c r="E290" s="50">
        <f>ROUND(RV_DATA!K310, 6)</f>
        <v>110781.14</v>
      </c>
      <c r="F290" s="50">
        <f>ROUND(SUMIF(RV_DATA!V300:'RV_DATA'!V313, 1991017595, RV_DATA!M300:'RV_DATA'!M313), 6)</f>
        <v>22.16</v>
      </c>
      <c r="Q290">
        <v>3</v>
      </c>
    </row>
    <row r="291" spans="1:17" ht="28.5" x14ac:dyDescent="0.2">
      <c r="A291" s="49" t="s">
        <v>465</v>
      </c>
      <c r="B291" s="42" t="s">
        <v>467</v>
      </c>
      <c r="C291" s="42" t="s">
        <v>289</v>
      </c>
      <c r="D291" s="43">
        <f>ROUND(SUMIF(RV_DATA!V300:'RV_DATA'!V313, 657210226, RV_DATA!I300:'RV_DATA'!I313), 6)</f>
        <v>19.488</v>
      </c>
      <c r="E291" s="50">
        <f>ROUND(RV_DATA!K304, 6)</f>
        <v>12.02</v>
      </c>
      <c r="F291" s="50">
        <f>ROUND(SUMIF(RV_DATA!V300:'RV_DATA'!V313, 657210226, RV_DATA!M300:'RV_DATA'!M313), 6)</f>
        <v>234.24</v>
      </c>
      <c r="Q291">
        <v>3</v>
      </c>
    </row>
    <row r="292" spans="1:17" ht="14.25" x14ac:dyDescent="0.2">
      <c r="A292" s="49" t="s">
        <v>468</v>
      </c>
      <c r="B292" s="42" t="s">
        <v>470</v>
      </c>
      <c r="C292" s="42" t="s">
        <v>155</v>
      </c>
      <c r="D292" s="43">
        <f>ROUND(SUMIF(RV_DATA!V300:'RV_DATA'!V313, -588394673, RV_DATA!I300:'RV_DATA'!I313), 6)</f>
        <v>1.0962E-2</v>
      </c>
      <c r="E292" s="50">
        <f>ROUND(RV_DATA!K303, 6)</f>
        <v>343020.03</v>
      </c>
      <c r="F292" s="50">
        <f>ROUND(SUMIF(RV_DATA!V300:'RV_DATA'!V313, -588394673, RV_DATA!M300:'RV_DATA'!M313), 6)</f>
        <v>3760.17</v>
      </c>
      <c r="Q292">
        <v>3</v>
      </c>
    </row>
    <row r="293" spans="1:17" ht="28.5" x14ac:dyDescent="0.2">
      <c r="A293" s="49" t="s">
        <v>471</v>
      </c>
      <c r="B293" s="42" t="s">
        <v>473</v>
      </c>
      <c r="C293" s="42" t="s">
        <v>474</v>
      </c>
      <c r="D293" s="43">
        <f>ROUND(SUMIF(RV_DATA!V300:'RV_DATA'!V313, -735317913, RV_DATA!I300:'RV_DATA'!I313), 6)</f>
        <v>2557.8000000000002</v>
      </c>
      <c r="E293" s="50">
        <f>ROUND(RV_DATA!K302, 6)</f>
        <v>17.77</v>
      </c>
      <c r="F293" s="50">
        <f>ROUND(SUMIF(RV_DATA!V300:'RV_DATA'!V313, -735317913, RV_DATA!M300:'RV_DATA'!M313), 6)</f>
        <v>45452.11</v>
      </c>
      <c r="Q293">
        <v>3</v>
      </c>
    </row>
    <row r="294" spans="1:17" ht="57" x14ac:dyDescent="0.2">
      <c r="A294" s="49" t="s">
        <v>475</v>
      </c>
      <c r="B294" s="42" t="s">
        <v>477</v>
      </c>
      <c r="C294" s="42" t="s">
        <v>474</v>
      </c>
      <c r="D294" s="43">
        <f>ROUND(SUMIF(RV_DATA!V300:'RV_DATA'!V313, 2130616076, RV_DATA!I300:'RV_DATA'!I313), 6)</f>
        <v>840.42</v>
      </c>
      <c r="E294" s="50">
        <f>ROUND(RV_DATA!K301, 6)</f>
        <v>202.34</v>
      </c>
      <c r="F294" s="50">
        <f>ROUND(SUMIF(RV_DATA!V300:'RV_DATA'!V313, 2130616076, RV_DATA!M300:'RV_DATA'!M313), 6)</f>
        <v>170050.58</v>
      </c>
      <c r="Q294">
        <v>3</v>
      </c>
    </row>
    <row r="295" spans="1:17" ht="28.5" x14ac:dyDescent="0.2">
      <c r="A295" s="49" t="s">
        <v>478</v>
      </c>
      <c r="B295" s="42" t="s">
        <v>480</v>
      </c>
      <c r="C295" s="42" t="s">
        <v>155</v>
      </c>
      <c r="D295" s="43">
        <f>ROUND(SUMIF(RV_DATA!V300:'RV_DATA'!V313, -308535249, RV_DATA!I300:'RV_DATA'!I313), 6)</f>
        <v>0.1827</v>
      </c>
      <c r="E295" s="50">
        <f>ROUND(RV_DATA!K300, 6)</f>
        <v>748299.67</v>
      </c>
      <c r="F295" s="50">
        <f>ROUND(SUMIF(RV_DATA!V300:'RV_DATA'!V313, -308535249, RV_DATA!M300:'RV_DATA'!M313), 6)</f>
        <v>136714.34</v>
      </c>
      <c r="Q295">
        <v>3</v>
      </c>
    </row>
    <row r="296" spans="1:17" ht="57" x14ac:dyDescent="0.2">
      <c r="A296" s="49" t="s">
        <v>572</v>
      </c>
      <c r="B296" s="42" t="s">
        <v>574</v>
      </c>
      <c r="C296" s="42" t="s">
        <v>155</v>
      </c>
      <c r="D296" s="43">
        <f>ROUND(SUMIF(RV_DATA!V300:'RV_DATA'!V313, 1121548434, RV_DATA!I300:'RV_DATA'!I313), 6)</f>
        <v>0.1</v>
      </c>
      <c r="E296" s="50">
        <f>ROUND(RV_DATA!K309, 6)</f>
        <v>79722.539999999994</v>
      </c>
      <c r="F296" s="50">
        <f>ROUND(SUMIF(RV_DATA!V300:'RV_DATA'!V313, 1121548434, RV_DATA!M300:'RV_DATA'!M313), 6)</f>
        <v>7972.25</v>
      </c>
      <c r="Q296">
        <v>3</v>
      </c>
    </row>
    <row r="297" spans="1:17" ht="28.5" x14ac:dyDescent="0.2">
      <c r="A297" s="49" t="s">
        <v>196</v>
      </c>
      <c r="B297" s="42" t="s">
        <v>360</v>
      </c>
      <c r="C297" s="42" t="s">
        <v>198</v>
      </c>
      <c r="D297" s="43">
        <f>ROUND(SUMIF(RV_DATA!V300:'RV_DATA'!V313, 1358889698, RV_DATA!I300:'RV_DATA'!I313), 6)</f>
        <v>2</v>
      </c>
      <c r="E297" s="50">
        <f>ROUND(RV_DATA!K313, 6)</f>
        <v>10625</v>
      </c>
      <c r="F297" s="50">
        <f>ROUND(SUMIF(RV_DATA!V300:'RV_DATA'!V313, 1358889698, RV_DATA!M300:'RV_DATA'!M313), 6)</f>
        <v>21250</v>
      </c>
      <c r="Q297">
        <v>3</v>
      </c>
    </row>
    <row r="298" spans="1:17" ht="15" x14ac:dyDescent="0.25">
      <c r="A298" s="85" t="s">
        <v>778</v>
      </c>
      <c r="B298" s="85"/>
      <c r="C298" s="85"/>
      <c r="D298" s="85"/>
      <c r="E298" s="86">
        <f>SUMIF(Q289:Q297, 3, F289:F297)</f>
        <v>385508.39</v>
      </c>
      <c r="F298" s="86"/>
    </row>
    <row r="299" spans="1:17" ht="16.5" x14ac:dyDescent="0.2">
      <c r="A299" s="76" t="str">
        <f>CONCATENATE("Раздел: ",IF(Source!G890&lt;&gt;"Новый раздел", Source!G890, ""))</f>
        <v>Раздел: Мусор</v>
      </c>
      <c r="B299" s="77"/>
      <c r="C299" s="77"/>
      <c r="D299" s="77"/>
      <c r="E299" s="77"/>
      <c r="F299" s="77"/>
    </row>
    <row r="300" spans="1:17" ht="14.25" x14ac:dyDescent="0.2">
      <c r="A300" s="83" t="s">
        <v>775</v>
      </c>
      <c r="B300" s="84"/>
      <c r="C300" s="84"/>
      <c r="D300" s="84"/>
      <c r="E300" s="84"/>
      <c r="F300" s="84"/>
    </row>
    <row r="301" spans="1:17" ht="42.75" x14ac:dyDescent="0.2">
      <c r="A301" s="49" t="s">
        <v>648</v>
      </c>
      <c r="B301" s="42" t="s">
        <v>650</v>
      </c>
      <c r="C301" s="42" t="s">
        <v>393</v>
      </c>
      <c r="D301" s="43">
        <f>ROUND(SUMIF(RV_DATA!V315:'RV_DATA'!V319, -2015274479, RV_DATA!I315:'RV_DATA'!I319), 6)</f>
        <v>9.3250050000000009</v>
      </c>
      <c r="E301" s="50">
        <f>ROUND(RV_DATA!K315, 6)</f>
        <v>1494.43</v>
      </c>
      <c r="F301" s="50">
        <f>ROUND(SUMIF(RV_DATA!V315:'RV_DATA'!V319, -2015274479, RV_DATA!M315:'RV_DATA'!M319), 6)</f>
        <v>13935.41</v>
      </c>
      <c r="Q301">
        <v>2</v>
      </c>
    </row>
    <row r="302" spans="1:17" ht="28.5" x14ac:dyDescent="0.2">
      <c r="A302" s="49" t="s">
        <v>651</v>
      </c>
      <c r="B302" s="42" t="s">
        <v>653</v>
      </c>
      <c r="C302" s="42" t="s">
        <v>393</v>
      </c>
      <c r="D302" s="43">
        <f>ROUND(SUMIF(RV_DATA!V315:'RV_DATA'!V319, 723112940, RV_DATA!I315:'RV_DATA'!I319), 6)</f>
        <v>52.094999999999999</v>
      </c>
      <c r="E302" s="50">
        <f>ROUND(RV_DATA!K317, 6)</f>
        <v>1009.4</v>
      </c>
      <c r="F302" s="50">
        <f>ROUND(SUMIF(RV_DATA!V315:'RV_DATA'!V319, 723112940, RV_DATA!M315:'RV_DATA'!M319), 6)</f>
        <v>52565.59</v>
      </c>
      <c r="Q302">
        <v>2</v>
      </c>
    </row>
    <row r="303" spans="1:17" ht="28.5" x14ac:dyDescent="0.2">
      <c r="A303" s="49" t="s">
        <v>654</v>
      </c>
      <c r="B303" s="42" t="s">
        <v>656</v>
      </c>
      <c r="C303" s="42" t="s">
        <v>393</v>
      </c>
      <c r="D303" s="43">
        <f>ROUND(SUMIF(RV_DATA!V315:'RV_DATA'!V319, -522295321, RV_DATA!I315:'RV_DATA'!I319), 6)</f>
        <v>42.023299999999999</v>
      </c>
      <c r="E303" s="50">
        <f>ROUND(RV_DATA!K316, 6)</f>
        <v>1014.12</v>
      </c>
      <c r="F303" s="50">
        <f>ROUND(SUMIF(RV_DATA!V315:'RV_DATA'!V319, -522295321, RV_DATA!M315:'RV_DATA'!M319), 6)</f>
        <v>42601.55</v>
      </c>
      <c r="Q303">
        <v>2</v>
      </c>
    </row>
    <row r="304" spans="1:17" ht="15" x14ac:dyDescent="0.25">
      <c r="A304" s="85" t="s">
        <v>776</v>
      </c>
      <c r="B304" s="85"/>
      <c r="C304" s="85"/>
      <c r="D304" s="85"/>
      <c r="E304" s="86">
        <f>SUMIF(Q301:Q303, 2, F301:F303)</f>
        <v>109102.55</v>
      </c>
      <c r="F304" s="86"/>
    </row>
  </sheetData>
  <sortState ref="A301:R303">
    <sortCondition ref="A301"/>
  </sortState>
  <mergeCells count="97">
    <mergeCell ref="A300:F300"/>
    <mergeCell ref="A304:D304"/>
    <mergeCell ref="E304:F304"/>
    <mergeCell ref="A287:D287"/>
    <mergeCell ref="E287:F287"/>
    <mergeCell ref="A288:F288"/>
    <mergeCell ref="A298:D298"/>
    <mergeCell ref="E298:F298"/>
    <mergeCell ref="A299:F299"/>
    <mergeCell ref="A281:F281"/>
    <mergeCell ref="A262:D262"/>
    <mergeCell ref="E262:F262"/>
    <mergeCell ref="A263:F263"/>
    <mergeCell ref="A264:F264"/>
    <mergeCell ref="A269:D269"/>
    <mergeCell ref="E269:F269"/>
    <mergeCell ref="A270:F270"/>
    <mergeCell ref="A278:D278"/>
    <mergeCell ref="E278:F278"/>
    <mergeCell ref="A279:F279"/>
    <mergeCell ref="A280:F280"/>
    <mergeCell ref="A256:F256"/>
    <mergeCell ref="A234:F234"/>
    <mergeCell ref="A235:F235"/>
    <mergeCell ref="A236:F236"/>
    <mergeCell ref="A244:D244"/>
    <mergeCell ref="E244:F244"/>
    <mergeCell ref="A245:F245"/>
    <mergeCell ref="A252:D252"/>
    <mergeCell ref="E252:F252"/>
    <mergeCell ref="A253:F253"/>
    <mergeCell ref="A254:F254"/>
    <mergeCell ref="A255:F255"/>
    <mergeCell ref="A233:D233"/>
    <mergeCell ref="E233:F233"/>
    <mergeCell ref="A182:D182"/>
    <mergeCell ref="E182:F182"/>
    <mergeCell ref="A183:F183"/>
    <mergeCell ref="A184:F184"/>
    <mergeCell ref="A185:F185"/>
    <mergeCell ref="A187:D187"/>
    <mergeCell ref="E187:F187"/>
    <mergeCell ref="A188:F188"/>
    <mergeCell ref="A189:F189"/>
    <mergeCell ref="A201:D201"/>
    <mergeCell ref="E201:F201"/>
    <mergeCell ref="A202:F202"/>
    <mergeCell ref="A171:F171"/>
    <mergeCell ref="A149:F149"/>
    <mergeCell ref="A154:D154"/>
    <mergeCell ref="E154:F154"/>
    <mergeCell ref="A155:F155"/>
    <mergeCell ref="A163:D163"/>
    <mergeCell ref="E163:F163"/>
    <mergeCell ref="A164:F164"/>
    <mergeCell ref="A165:F165"/>
    <mergeCell ref="A166:F166"/>
    <mergeCell ref="A170:D170"/>
    <mergeCell ref="E170:F170"/>
    <mergeCell ref="A148:F148"/>
    <mergeCell ref="A89:F89"/>
    <mergeCell ref="A98:D98"/>
    <mergeCell ref="E98:F98"/>
    <mergeCell ref="A99:F99"/>
    <mergeCell ref="A138:D138"/>
    <mergeCell ref="E138:F138"/>
    <mergeCell ref="A139:F139"/>
    <mergeCell ref="A140:F140"/>
    <mergeCell ref="A141:F141"/>
    <mergeCell ref="A147:D147"/>
    <mergeCell ref="E147:F147"/>
    <mergeCell ref="A88:F88"/>
    <mergeCell ref="A19:F19"/>
    <mergeCell ref="A20:F20"/>
    <mergeCell ref="A40:D40"/>
    <mergeCell ref="E40:F40"/>
    <mergeCell ref="A41:F41"/>
    <mergeCell ref="A82:D82"/>
    <mergeCell ref="E82:F82"/>
    <mergeCell ref="A83:F83"/>
    <mergeCell ref="A84:F84"/>
    <mergeCell ref="A85:F85"/>
    <mergeCell ref="A87:D87"/>
    <mergeCell ref="E87:F87"/>
    <mergeCell ref="A8:F8"/>
    <mergeCell ref="A9:F9"/>
    <mergeCell ref="A10:F10"/>
    <mergeCell ref="A11:F11"/>
    <mergeCell ref="A18:D18"/>
    <mergeCell ref="E18:F18"/>
    <mergeCell ref="A2:F2"/>
    <mergeCell ref="A3:F3"/>
    <mergeCell ref="A4:A6"/>
    <mergeCell ref="B4:B6"/>
    <mergeCell ref="C4:C6"/>
    <mergeCell ref="D4:D6"/>
    <mergeCell ref="E4:F5"/>
  </mergeCells>
  <pageMargins left="0.6" right="0.4" top="0.65" bottom="0.4" header="0.4" footer="0.4"/>
  <pageSetup paperSize="9" scale="90" fitToHeight="0" orientation="portrait" r:id="rId1"/>
  <headerFooter>
    <oddHeader>&amp;C&amp;P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1000"/>
  <sheetViews>
    <sheetView workbookViewId="0">
      <selection activeCell="F12" sqref="F12"/>
    </sheetView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1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0</v>
      </c>
      <c r="L1">
        <v>31807</v>
      </c>
      <c r="M1">
        <v>10</v>
      </c>
      <c r="N1">
        <v>11</v>
      </c>
      <c r="O1">
        <v>2</v>
      </c>
      <c r="P1">
        <v>0</v>
      </c>
      <c r="Q1">
        <v>0</v>
      </c>
    </row>
    <row r="12" spans="1:133" x14ac:dyDescent="0.2">
      <c r="A12" s="1">
        <v>1</v>
      </c>
      <c r="B12" s="1">
        <v>996</v>
      </c>
      <c r="C12" s="1">
        <v>0</v>
      </c>
      <c r="D12" s="1">
        <f>ROW(A956)</f>
        <v>956</v>
      </c>
      <c r="E12" s="1">
        <v>0</v>
      </c>
      <c r="F12" s="1"/>
      <c r="G12" s="1" t="s">
        <v>779</v>
      </c>
      <c r="H12" s="1" t="s">
        <v>3</v>
      </c>
      <c r="I12" s="1">
        <v>0</v>
      </c>
      <c r="J12" s="1" t="s">
        <v>3</v>
      </c>
      <c r="K12" s="1">
        <v>0</v>
      </c>
      <c r="L12" s="1"/>
      <c r="M12" s="1"/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/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/>
      <c r="AL12" s="1" t="s">
        <v>3</v>
      </c>
      <c r="AM12" s="1" t="s">
        <v>3</v>
      </c>
      <c r="AN12" s="1" t="s">
        <v>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/>
      <c r="BC12" s="1"/>
      <c r="BD12" s="1"/>
      <c r="BE12" s="1"/>
      <c r="BF12" s="1"/>
      <c r="BG12" s="1"/>
      <c r="BH12" s="1" t="s">
        <v>5</v>
      </c>
      <c r="BI12" s="1" t="s">
        <v>6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7</v>
      </c>
      <c r="BZ12" s="1" t="s">
        <v>8</v>
      </c>
      <c r="CA12" s="1" t="s">
        <v>9</v>
      </c>
      <c r="CB12" s="1" t="s">
        <v>9</v>
      </c>
      <c r="CC12" s="1" t="s">
        <v>9</v>
      </c>
      <c r="CD12" s="1" t="s">
        <v>9</v>
      </c>
      <c r="CE12" s="1" t="s">
        <v>10</v>
      </c>
      <c r="CF12" s="1">
        <v>0</v>
      </c>
      <c r="CG12" s="1">
        <v>0</v>
      </c>
      <c r="CH12" s="1">
        <v>8</v>
      </c>
      <c r="CI12" s="1" t="s">
        <v>3</v>
      </c>
      <c r="CJ12" s="1" t="s">
        <v>3</v>
      </c>
      <c r="CK12" s="1">
        <v>0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5" spans="1:133" x14ac:dyDescent="0.2">
      <c r="A15" s="1">
        <v>15</v>
      </c>
      <c r="B15" s="1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8" spans="1:245" x14ac:dyDescent="0.2">
      <c r="A18" s="2">
        <v>52</v>
      </c>
      <c r="B18" s="2">
        <f t="shared" ref="B18:G18" si="0">B956</f>
        <v>996</v>
      </c>
      <c r="C18" s="2">
        <f t="shared" si="0"/>
        <v>1</v>
      </c>
      <c r="D18" s="2">
        <f t="shared" si="0"/>
        <v>12</v>
      </c>
      <c r="E18" s="2">
        <f t="shared" si="0"/>
        <v>0</v>
      </c>
      <c r="F18" s="2" t="str">
        <f t="shared" si="0"/>
        <v/>
      </c>
      <c r="G18" s="2" t="str">
        <f t="shared" si="0"/>
        <v>Выполнение работ по проведению ремонта прилегающей территории для нужд ГБОУ Школа № 630</v>
      </c>
      <c r="H18" s="2"/>
      <c r="I18" s="2"/>
      <c r="J18" s="2"/>
      <c r="K18" s="2"/>
      <c r="L18" s="2"/>
      <c r="M18" s="2"/>
      <c r="N18" s="2"/>
      <c r="O18" s="2">
        <f t="shared" ref="O18:AT18" si="1">O956</f>
        <v>5281728.7</v>
      </c>
      <c r="P18" s="2">
        <f t="shared" si="1"/>
        <v>3342900.05</v>
      </c>
      <c r="Q18" s="2">
        <f t="shared" si="1"/>
        <v>707452.06</v>
      </c>
      <c r="R18" s="2">
        <f t="shared" si="1"/>
        <v>411693.91</v>
      </c>
      <c r="S18" s="2">
        <f t="shared" si="1"/>
        <v>1231376.5900000001</v>
      </c>
      <c r="T18" s="2">
        <f t="shared" si="1"/>
        <v>0</v>
      </c>
      <c r="U18" s="2">
        <f t="shared" si="1"/>
        <v>5252.6637286000005</v>
      </c>
      <c r="V18" s="2">
        <f t="shared" si="1"/>
        <v>0</v>
      </c>
      <c r="W18" s="2">
        <f t="shared" si="1"/>
        <v>0</v>
      </c>
      <c r="X18" s="2">
        <f t="shared" si="1"/>
        <v>861963.6</v>
      </c>
      <c r="Y18" s="2">
        <f t="shared" si="1"/>
        <v>123137.73</v>
      </c>
      <c r="Z18" s="2">
        <f t="shared" si="1"/>
        <v>0</v>
      </c>
      <c r="AA18" s="2">
        <f t="shared" si="1"/>
        <v>0</v>
      </c>
      <c r="AB18" s="2">
        <f t="shared" si="1"/>
        <v>0</v>
      </c>
      <c r="AC18" s="2">
        <f t="shared" si="1"/>
        <v>0</v>
      </c>
      <c r="AD18" s="2">
        <f t="shared" si="1"/>
        <v>0</v>
      </c>
      <c r="AE18" s="2">
        <f t="shared" si="1"/>
        <v>0</v>
      </c>
      <c r="AF18" s="2">
        <f t="shared" si="1"/>
        <v>0</v>
      </c>
      <c r="AG18" s="2">
        <f t="shared" si="1"/>
        <v>0</v>
      </c>
      <c r="AH18" s="2">
        <f t="shared" si="1"/>
        <v>0</v>
      </c>
      <c r="AI18" s="2">
        <f t="shared" si="1"/>
        <v>0</v>
      </c>
      <c r="AJ18" s="2">
        <f t="shared" si="1"/>
        <v>0</v>
      </c>
      <c r="AK18" s="2">
        <f t="shared" si="1"/>
        <v>0</v>
      </c>
      <c r="AL18" s="2">
        <f t="shared" si="1"/>
        <v>0</v>
      </c>
      <c r="AM18" s="2">
        <f t="shared" si="1"/>
        <v>0</v>
      </c>
      <c r="AN18" s="2">
        <f t="shared" si="1"/>
        <v>0</v>
      </c>
      <c r="AO18" s="2">
        <f t="shared" si="1"/>
        <v>0</v>
      </c>
      <c r="AP18" s="2">
        <f t="shared" si="1"/>
        <v>0</v>
      </c>
      <c r="AQ18" s="2">
        <f t="shared" si="1"/>
        <v>0</v>
      </c>
      <c r="AR18" s="2">
        <f t="shared" si="1"/>
        <v>6627373.0999999996</v>
      </c>
      <c r="AS18" s="2">
        <f t="shared" si="1"/>
        <v>0</v>
      </c>
      <c r="AT18" s="2">
        <f t="shared" si="1"/>
        <v>0</v>
      </c>
      <c r="AU18" s="2">
        <f t="shared" ref="AU18:BZ18" si="2">AU956</f>
        <v>6627373.0999999996</v>
      </c>
      <c r="AV18" s="2">
        <f t="shared" si="2"/>
        <v>3342900.05</v>
      </c>
      <c r="AW18" s="2">
        <f t="shared" si="2"/>
        <v>3342900.05</v>
      </c>
      <c r="AX18" s="2">
        <f t="shared" si="2"/>
        <v>0</v>
      </c>
      <c r="AY18" s="2">
        <f t="shared" si="2"/>
        <v>3342900.05</v>
      </c>
      <c r="AZ18" s="2">
        <f t="shared" si="2"/>
        <v>0</v>
      </c>
      <c r="BA18" s="2">
        <f t="shared" si="2"/>
        <v>0</v>
      </c>
      <c r="BB18" s="2">
        <f t="shared" si="2"/>
        <v>0</v>
      </c>
      <c r="BC18" s="2">
        <f t="shared" si="2"/>
        <v>0</v>
      </c>
      <c r="BD18" s="2">
        <f t="shared" si="2"/>
        <v>0</v>
      </c>
      <c r="BE18" s="2">
        <f t="shared" si="2"/>
        <v>0</v>
      </c>
      <c r="BF18" s="2">
        <f t="shared" si="2"/>
        <v>0</v>
      </c>
      <c r="BG18" s="2">
        <f t="shared" si="2"/>
        <v>0</v>
      </c>
      <c r="BH18" s="2">
        <f t="shared" si="2"/>
        <v>0</v>
      </c>
      <c r="BI18" s="2">
        <f t="shared" si="2"/>
        <v>0</v>
      </c>
      <c r="BJ18" s="2">
        <f t="shared" si="2"/>
        <v>0</v>
      </c>
      <c r="BK18" s="2">
        <f t="shared" si="2"/>
        <v>0</v>
      </c>
      <c r="BL18" s="2">
        <f t="shared" si="2"/>
        <v>0</v>
      </c>
      <c r="BM18" s="2">
        <f t="shared" si="2"/>
        <v>0</v>
      </c>
      <c r="BN18" s="2">
        <f t="shared" si="2"/>
        <v>0</v>
      </c>
      <c r="BO18" s="2">
        <f t="shared" si="2"/>
        <v>0</v>
      </c>
      <c r="BP18" s="2">
        <f t="shared" si="2"/>
        <v>0</v>
      </c>
      <c r="BQ18" s="2">
        <f t="shared" si="2"/>
        <v>0</v>
      </c>
      <c r="BR18" s="2">
        <f t="shared" si="2"/>
        <v>0</v>
      </c>
      <c r="BS18" s="2">
        <f t="shared" si="2"/>
        <v>0</v>
      </c>
      <c r="BT18" s="2">
        <f t="shared" si="2"/>
        <v>0</v>
      </c>
      <c r="BU18" s="2">
        <f t="shared" si="2"/>
        <v>0</v>
      </c>
      <c r="BV18" s="2">
        <f t="shared" si="2"/>
        <v>0</v>
      </c>
      <c r="BW18" s="2">
        <f t="shared" si="2"/>
        <v>0</v>
      </c>
      <c r="BX18" s="2">
        <f t="shared" si="2"/>
        <v>0</v>
      </c>
      <c r="BY18" s="2">
        <f t="shared" si="2"/>
        <v>0</v>
      </c>
      <c r="BZ18" s="2">
        <f t="shared" si="2"/>
        <v>0</v>
      </c>
      <c r="CA18" s="2">
        <f t="shared" ref="CA18:DF18" si="3">CA956</f>
        <v>0</v>
      </c>
      <c r="CB18" s="2">
        <f t="shared" si="3"/>
        <v>0</v>
      </c>
      <c r="CC18" s="2">
        <f t="shared" si="3"/>
        <v>0</v>
      </c>
      <c r="CD18" s="2">
        <f t="shared" si="3"/>
        <v>0</v>
      </c>
      <c r="CE18" s="2">
        <f t="shared" si="3"/>
        <v>0</v>
      </c>
      <c r="CF18" s="2">
        <f t="shared" si="3"/>
        <v>0</v>
      </c>
      <c r="CG18" s="2">
        <f t="shared" si="3"/>
        <v>0</v>
      </c>
      <c r="CH18" s="2">
        <f t="shared" si="3"/>
        <v>0</v>
      </c>
      <c r="CI18" s="2">
        <f t="shared" si="3"/>
        <v>0</v>
      </c>
      <c r="CJ18" s="2">
        <f t="shared" si="3"/>
        <v>0</v>
      </c>
      <c r="CK18" s="2">
        <f t="shared" si="3"/>
        <v>0</v>
      </c>
      <c r="CL18" s="2">
        <f t="shared" si="3"/>
        <v>0</v>
      </c>
      <c r="CM18" s="2">
        <f t="shared" si="3"/>
        <v>0</v>
      </c>
      <c r="CN18" s="2">
        <f t="shared" si="3"/>
        <v>0</v>
      </c>
      <c r="CO18" s="2">
        <f t="shared" si="3"/>
        <v>0</v>
      </c>
      <c r="CP18" s="2">
        <f t="shared" si="3"/>
        <v>0</v>
      </c>
      <c r="CQ18" s="2">
        <f t="shared" si="3"/>
        <v>0</v>
      </c>
      <c r="CR18" s="2">
        <f t="shared" si="3"/>
        <v>0</v>
      </c>
      <c r="CS18" s="2">
        <f t="shared" si="3"/>
        <v>0</v>
      </c>
      <c r="CT18" s="2">
        <f t="shared" si="3"/>
        <v>0</v>
      </c>
      <c r="CU18" s="2">
        <f t="shared" si="3"/>
        <v>0</v>
      </c>
      <c r="CV18" s="2">
        <f t="shared" si="3"/>
        <v>0</v>
      </c>
      <c r="CW18" s="2">
        <f t="shared" si="3"/>
        <v>0</v>
      </c>
      <c r="CX18" s="2">
        <f t="shared" si="3"/>
        <v>0</v>
      </c>
      <c r="CY18" s="2">
        <f t="shared" si="3"/>
        <v>0</v>
      </c>
      <c r="CZ18" s="2">
        <f t="shared" si="3"/>
        <v>0</v>
      </c>
      <c r="DA18" s="2">
        <f t="shared" si="3"/>
        <v>0</v>
      </c>
      <c r="DB18" s="2">
        <f t="shared" si="3"/>
        <v>0</v>
      </c>
      <c r="DC18" s="2">
        <f t="shared" si="3"/>
        <v>0</v>
      </c>
      <c r="DD18" s="2">
        <f t="shared" si="3"/>
        <v>0</v>
      </c>
      <c r="DE18" s="2">
        <f t="shared" si="3"/>
        <v>0</v>
      </c>
      <c r="DF18" s="2">
        <f t="shared" si="3"/>
        <v>0</v>
      </c>
      <c r="DG18" s="3">
        <f t="shared" ref="DG18:EL18" si="4">DG956</f>
        <v>0</v>
      </c>
      <c r="DH18" s="3">
        <f t="shared" si="4"/>
        <v>0</v>
      </c>
      <c r="DI18" s="3">
        <f t="shared" si="4"/>
        <v>0</v>
      </c>
      <c r="DJ18" s="3">
        <f t="shared" si="4"/>
        <v>0</v>
      </c>
      <c r="DK18" s="3">
        <f t="shared" si="4"/>
        <v>0</v>
      </c>
      <c r="DL18" s="3">
        <f t="shared" si="4"/>
        <v>0</v>
      </c>
      <c r="DM18" s="3">
        <f t="shared" si="4"/>
        <v>0</v>
      </c>
      <c r="DN18" s="3">
        <f t="shared" si="4"/>
        <v>0</v>
      </c>
      <c r="DO18" s="3">
        <f t="shared" si="4"/>
        <v>0</v>
      </c>
      <c r="DP18" s="3">
        <f t="shared" si="4"/>
        <v>0</v>
      </c>
      <c r="DQ18" s="3">
        <f t="shared" si="4"/>
        <v>0</v>
      </c>
      <c r="DR18" s="3">
        <f t="shared" si="4"/>
        <v>0</v>
      </c>
      <c r="DS18" s="3">
        <f t="shared" si="4"/>
        <v>0</v>
      </c>
      <c r="DT18" s="3">
        <f t="shared" si="4"/>
        <v>0</v>
      </c>
      <c r="DU18" s="3">
        <f t="shared" si="4"/>
        <v>0</v>
      </c>
      <c r="DV18" s="3">
        <f t="shared" si="4"/>
        <v>0</v>
      </c>
      <c r="DW18" s="3">
        <f t="shared" si="4"/>
        <v>0</v>
      </c>
      <c r="DX18" s="3">
        <f t="shared" si="4"/>
        <v>0</v>
      </c>
      <c r="DY18" s="3">
        <f t="shared" si="4"/>
        <v>0</v>
      </c>
      <c r="DZ18" s="3">
        <f t="shared" si="4"/>
        <v>0</v>
      </c>
      <c r="EA18" s="3">
        <f t="shared" si="4"/>
        <v>0</v>
      </c>
      <c r="EB18" s="3">
        <f t="shared" si="4"/>
        <v>0</v>
      </c>
      <c r="EC18" s="3">
        <f t="shared" si="4"/>
        <v>0</v>
      </c>
      <c r="ED18" s="3">
        <f t="shared" si="4"/>
        <v>0</v>
      </c>
      <c r="EE18" s="3">
        <f t="shared" si="4"/>
        <v>0</v>
      </c>
      <c r="EF18" s="3">
        <f t="shared" si="4"/>
        <v>0</v>
      </c>
      <c r="EG18" s="3">
        <f t="shared" si="4"/>
        <v>0</v>
      </c>
      <c r="EH18" s="3">
        <f t="shared" si="4"/>
        <v>0</v>
      </c>
      <c r="EI18" s="3">
        <f t="shared" si="4"/>
        <v>0</v>
      </c>
      <c r="EJ18" s="3">
        <f t="shared" si="4"/>
        <v>0</v>
      </c>
      <c r="EK18" s="3">
        <f t="shared" si="4"/>
        <v>0</v>
      </c>
      <c r="EL18" s="3">
        <f t="shared" si="4"/>
        <v>0</v>
      </c>
      <c r="EM18" s="3">
        <f t="shared" ref="EM18:FR18" si="5">EM956</f>
        <v>0</v>
      </c>
      <c r="EN18" s="3">
        <f t="shared" si="5"/>
        <v>0</v>
      </c>
      <c r="EO18" s="3">
        <f t="shared" si="5"/>
        <v>0</v>
      </c>
      <c r="EP18" s="3">
        <f t="shared" si="5"/>
        <v>0</v>
      </c>
      <c r="EQ18" s="3">
        <f t="shared" si="5"/>
        <v>0</v>
      </c>
      <c r="ER18" s="3">
        <f t="shared" si="5"/>
        <v>0</v>
      </c>
      <c r="ES18" s="3">
        <f t="shared" si="5"/>
        <v>0</v>
      </c>
      <c r="ET18" s="3">
        <f t="shared" si="5"/>
        <v>0</v>
      </c>
      <c r="EU18" s="3">
        <f t="shared" si="5"/>
        <v>0</v>
      </c>
      <c r="EV18" s="3">
        <f t="shared" si="5"/>
        <v>0</v>
      </c>
      <c r="EW18" s="3">
        <f t="shared" si="5"/>
        <v>0</v>
      </c>
      <c r="EX18" s="3">
        <f t="shared" si="5"/>
        <v>0</v>
      </c>
      <c r="EY18" s="3">
        <f t="shared" si="5"/>
        <v>0</v>
      </c>
      <c r="EZ18" s="3">
        <f t="shared" si="5"/>
        <v>0</v>
      </c>
      <c r="FA18" s="3">
        <f t="shared" si="5"/>
        <v>0</v>
      </c>
      <c r="FB18" s="3">
        <f t="shared" si="5"/>
        <v>0</v>
      </c>
      <c r="FC18" s="3">
        <f t="shared" si="5"/>
        <v>0</v>
      </c>
      <c r="FD18" s="3">
        <f t="shared" si="5"/>
        <v>0</v>
      </c>
      <c r="FE18" s="3">
        <f t="shared" si="5"/>
        <v>0</v>
      </c>
      <c r="FF18" s="3">
        <f t="shared" si="5"/>
        <v>0</v>
      </c>
      <c r="FG18" s="3">
        <f t="shared" si="5"/>
        <v>0</v>
      </c>
      <c r="FH18" s="3">
        <f t="shared" si="5"/>
        <v>0</v>
      </c>
      <c r="FI18" s="3">
        <f t="shared" si="5"/>
        <v>0</v>
      </c>
      <c r="FJ18" s="3">
        <f t="shared" si="5"/>
        <v>0</v>
      </c>
      <c r="FK18" s="3">
        <f t="shared" si="5"/>
        <v>0</v>
      </c>
      <c r="FL18" s="3">
        <f t="shared" si="5"/>
        <v>0</v>
      </c>
      <c r="FM18" s="3">
        <f t="shared" si="5"/>
        <v>0</v>
      </c>
      <c r="FN18" s="3">
        <f t="shared" si="5"/>
        <v>0</v>
      </c>
      <c r="FO18" s="3">
        <f t="shared" si="5"/>
        <v>0</v>
      </c>
      <c r="FP18" s="3">
        <f t="shared" si="5"/>
        <v>0</v>
      </c>
      <c r="FQ18" s="3">
        <f t="shared" si="5"/>
        <v>0</v>
      </c>
      <c r="FR18" s="3">
        <f t="shared" si="5"/>
        <v>0</v>
      </c>
      <c r="FS18" s="3">
        <f t="shared" ref="FS18:GX18" si="6">FS956</f>
        <v>0</v>
      </c>
      <c r="FT18" s="3">
        <f t="shared" si="6"/>
        <v>0</v>
      </c>
      <c r="FU18" s="3">
        <f t="shared" si="6"/>
        <v>0</v>
      </c>
      <c r="FV18" s="3">
        <f t="shared" si="6"/>
        <v>0</v>
      </c>
      <c r="FW18" s="3">
        <f t="shared" si="6"/>
        <v>0</v>
      </c>
      <c r="FX18" s="3">
        <f t="shared" si="6"/>
        <v>0</v>
      </c>
      <c r="FY18" s="3">
        <f t="shared" si="6"/>
        <v>0</v>
      </c>
      <c r="FZ18" s="3">
        <f t="shared" si="6"/>
        <v>0</v>
      </c>
      <c r="GA18" s="3">
        <f t="shared" si="6"/>
        <v>0</v>
      </c>
      <c r="GB18" s="3">
        <f t="shared" si="6"/>
        <v>0</v>
      </c>
      <c r="GC18" s="3">
        <f t="shared" si="6"/>
        <v>0</v>
      </c>
      <c r="GD18" s="3">
        <f t="shared" si="6"/>
        <v>0</v>
      </c>
      <c r="GE18" s="3">
        <f t="shared" si="6"/>
        <v>0</v>
      </c>
      <c r="GF18" s="3">
        <f t="shared" si="6"/>
        <v>0</v>
      </c>
      <c r="GG18" s="3">
        <f t="shared" si="6"/>
        <v>0</v>
      </c>
      <c r="GH18" s="3">
        <f t="shared" si="6"/>
        <v>0</v>
      </c>
      <c r="GI18" s="3">
        <f t="shared" si="6"/>
        <v>0</v>
      </c>
      <c r="GJ18" s="3">
        <f t="shared" si="6"/>
        <v>0</v>
      </c>
      <c r="GK18" s="3">
        <f t="shared" si="6"/>
        <v>0</v>
      </c>
      <c r="GL18" s="3">
        <f t="shared" si="6"/>
        <v>0</v>
      </c>
      <c r="GM18" s="3">
        <f t="shared" si="6"/>
        <v>0</v>
      </c>
      <c r="GN18" s="3">
        <f t="shared" si="6"/>
        <v>0</v>
      </c>
      <c r="GO18" s="3">
        <f t="shared" si="6"/>
        <v>0</v>
      </c>
      <c r="GP18" s="3">
        <f t="shared" si="6"/>
        <v>0</v>
      </c>
      <c r="GQ18" s="3">
        <f t="shared" si="6"/>
        <v>0</v>
      </c>
      <c r="GR18" s="3">
        <f t="shared" si="6"/>
        <v>0</v>
      </c>
      <c r="GS18" s="3">
        <f t="shared" si="6"/>
        <v>0</v>
      </c>
      <c r="GT18" s="3">
        <f t="shared" si="6"/>
        <v>0</v>
      </c>
      <c r="GU18" s="3">
        <f t="shared" si="6"/>
        <v>0</v>
      </c>
      <c r="GV18" s="3">
        <f t="shared" si="6"/>
        <v>0</v>
      </c>
      <c r="GW18" s="3">
        <f t="shared" si="6"/>
        <v>0</v>
      </c>
      <c r="GX18" s="3">
        <f t="shared" si="6"/>
        <v>0</v>
      </c>
    </row>
    <row r="20" spans="1:245" x14ac:dyDescent="0.2">
      <c r="A20" s="1">
        <v>3</v>
      </c>
      <c r="B20" s="1">
        <v>1</v>
      </c>
      <c r="C20" s="1"/>
      <c r="D20" s="1">
        <f>ROW(A926)</f>
        <v>926</v>
      </c>
      <c r="E20" s="1"/>
      <c r="F20" s="1" t="s">
        <v>11</v>
      </c>
      <c r="G20" s="1" t="s">
        <v>11</v>
      </c>
      <c r="H20" s="1" t="s">
        <v>3</v>
      </c>
      <c r="I20" s="1">
        <v>0</v>
      </c>
      <c r="J20" s="1" t="s">
        <v>3</v>
      </c>
      <c r="K20" s="1">
        <v>0</v>
      </c>
      <c r="L20" s="1" t="s">
        <v>3</v>
      </c>
      <c r="M20" s="1"/>
      <c r="N20" s="1"/>
      <c r="O20" s="1"/>
      <c r="P20" s="1"/>
      <c r="Q20" s="1"/>
      <c r="R20" s="1"/>
      <c r="S20" s="1"/>
      <c r="T20" s="1"/>
      <c r="U20" s="1" t="s">
        <v>3</v>
      </c>
      <c r="V20" s="1">
        <v>0</v>
      </c>
      <c r="W20" s="1"/>
      <c r="X20" s="1"/>
      <c r="Y20" s="1"/>
      <c r="Z20" s="1"/>
      <c r="AA20" s="1"/>
      <c r="AB20" s="1" t="s">
        <v>3</v>
      </c>
      <c r="AC20" s="1" t="s">
        <v>3</v>
      </c>
      <c r="AD20" s="1" t="s">
        <v>3</v>
      </c>
      <c r="AE20" s="1" t="s">
        <v>3</v>
      </c>
      <c r="AF20" s="1" t="s">
        <v>3</v>
      </c>
      <c r="AG20" s="1" t="s">
        <v>3</v>
      </c>
      <c r="AH20" s="1"/>
      <c r="AI20" s="1"/>
      <c r="AJ20" s="1"/>
      <c r="AK20" s="1"/>
      <c r="AL20" s="1"/>
      <c r="AM20" s="1"/>
      <c r="AN20" s="1"/>
      <c r="AO20" s="1"/>
      <c r="AP20" s="1" t="s">
        <v>3</v>
      </c>
      <c r="AQ20" s="1" t="s">
        <v>3</v>
      </c>
      <c r="AR20" s="1" t="s">
        <v>3</v>
      </c>
      <c r="AS20" s="1"/>
      <c r="AT20" s="1"/>
      <c r="AU20" s="1"/>
      <c r="AV20" s="1"/>
      <c r="AW20" s="1"/>
      <c r="AX20" s="1"/>
      <c r="AY20" s="1"/>
      <c r="AZ20" s="1" t="s">
        <v>3</v>
      </c>
      <c r="BA20" s="1"/>
      <c r="BB20" s="1" t="s">
        <v>3</v>
      </c>
      <c r="BC20" s="1" t="s">
        <v>3</v>
      </c>
      <c r="BD20" s="1" t="s">
        <v>3</v>
      </c>
      <c r="BE20" s="1" t="s">
        <v>3</v>
      </c>
      <c r="BF20" s="1" t="s">
        <v>3</v>
      </c>
      <c r="BG20" s="1" t="s">
        <v>3</v>
      </c>
      <c r="BH20" s="1" t="s">
        <v>3</v>
      </c>
      <c r="BI20" s="1" t="s">
        <v>3</v>
      </c>
      <c r="BJ20" s="1" t="s">
        <v>3</v>
      </c>
      <c r="BK20" s="1" t="s">
        <v>3</v>
      </c>
      <c r="BL20" s="1" t="s">
        <v>3</v>
      </c>
      <c r="BM20" s="1" t="s">
        <v>3</v>
      </c>
      <c r="BN20" s="1" t="s">
        <v>3</v>
      </c>
      <c r="BO20" s="1" t="s">
        <v>3</v>
      </c>
      <c r="BP20" s="1" t="s">
        <v>3</v>
      </c>
      <c r="BQ20" s="1"/>
      <c r="BR20" s="1"/>
      <c r="BS20" s="1"/>
      <c r="BT20" s="1"/>
      <c r="BU20" s="1"/>
      <c r="BV20" s="1"/>
      <c r="BW20" s="1"/>
      <c r="BX20" s="1">
        <v>0</v>
      </c>
      <c r="BY20" s="1"/>
      <c r="BZ20" s="1"/>
      <c r="CA20" s="1"/>
      <c r="CB20" s="1"/>
      <c r="CC20" s="1"/>
      <c r="CD20" s="1"/>
      <c r="CE20" s="1"/>
      <c r="CF20" s="1">
        <v>0</v>
      </c>
      <c r="CG20" s="1">
        <v>0</v>
      </c>
      <c r="CH20" s="1"/>
      <c r="CI20" s="1" t="s">
        <v>3</v>
      </c>
      <c r="CJ20" s="1" t="s">
        <v>3</v>
      </c>
      <c r="CK20" t="s">
        <v>3</v>
      </c>
      <c r="CL20" t="s">
        <v>3</v>
      </c>
      <c r="CM20" t="s">
        <v>3</v>
      </c>
      <c r="CN20" t="s">
        <v>3</v>
      </c>
      <c r="CO20" t="s">
        <v>3</v>
      </c>
      <c r="CP20" t="s">
        <v>3</v>
      </c>
      <c r="CQ20" t="s">
        <v>3</v>
      </c>
      <c r="CR20" t="s">
        <v>3</v>
      </c>
    </row>
    <row r="22" spans="1:245" x14ac:dyDescent="0.2">
      <c r="A22" s="2">
        <v>52</v>
      </c>
      <c r="B22" s="2">
        <f t="shared" ref="B22:G22" si="7">B926</f>
        <v>1</v>
      </c>
      <c r="C22" s="2">
        <f t="shared" si="7"/>
        <v>3</v>
      </c>
      <c r="D22" s="2">
        <f t="shared" si="7"/>
        <v>20</v>
      </c>
      <c r="E22" s="2">
        <f t="shared" si="7"/>
        <v>0</v>
      </c>
      <c r="F22" s="2" t="str">
        <f t="shared" si="7"/>
        <v>Новая локальная смета</v>
      </c>
      <c r="G22" s="2" t="str">
        <f t="shared" si="7"/>
        <v>Новая локальная смета</v>
      </c>
      <c r="H22" s="2"/>
      <c r="I22" s="2"/>
      <c r="J22" s="2"/>
      <c r="K22" s="2"/>
      <c r="L22" s="2"/>
      <c r="M22" s="2"/>
      <c r="N22" s="2"/>
      <c r="O22" s="2">
        <f t="shared" ref="O22:AT22" si="8">O926</f>
        <v>5281728.7</v>
      </c>
      <c r="P22" s="2">
        <f t="shared" si="8"/>
        <v>3342900.05</v>
      </c>
      <c r="Q22" s="2">
        <f t="shared" si="8"/>
        <v>707452.06</v>
      </c>
      <c r="R22" s="2">
        <f t="shared" si="8"/>
        <v>411693.91</v>
      </c>
      <c r="S22" s="2">
        <f t="shared" si="8"/>
        <v>1231376.5900000001</v>
      </c>
      <c r="T22" s="2">
        <f t="shared" si="8"/>
        <v>0</v>
      </c>
      <c r="U22" s="2">
        <f t="shared" si="8"/>
        <v>5252.6637286000005</v>
      </c>
      <c r="V22" s="2">
        <f t="shared" si="8"/>
        <v>0</v>
      </c>
      <c r="W22" s="2">
        <f t="shared" si="8"/>
        <v>0</v>
      </c>
      <c r="X22" s="2">
        <f t="shared" si="8"/>
        <v>861963.6</v>
      </c>
      <c r="Y22" s="2">
        <f t="shared" si="8"/>
        <v>123137.73</v>
      </c>
      <c r="Z22" s="2">
        <f t="shared" si="8"/>
        <v>0</v>
      </c>
      <c r="AA22" s="2">
        <f t="shared" si="8"/>
        <v>0</v>
      </c>
      <c r="AB22" s="2">
        <f t="shared" si="8"/>
        <v>0</v>
      </c>
      <c r="AC22" s="2">
        <f t="shared" si="8"/>
        <v>0</v>
      </c>
      <c r="AD22" s="2">
        <f t="shared" si="8"/>
        <v>0</v>
      </c>
      <c r="AE22" s="2">
        <f t="shared" si="8"/>
        <v>0</v>
      </c>
      <c r="AF22" s="2">
        <f t="shared" si="8"/>
        <v>0</v>
      </c>
      <c r="AG22" s="2">
        <f t="shared" si="8"/>
        <v>0</v>
      </c>
      <c r="AH22" s="2">
        <f t="shared" si="8"/>
        <v>0</v>
      </c>
      <c r="AI22" s="2">
        <f t="shared" si="8"/>
        <v>0</v>
      </c>
      <c r="AJ22" s="2">
        <f t="shared" si="8"/>
        <v>0</v>
      </c>
      <c r="AK22" s="2">
        <f t="shared" si="8"/>
        <v>0</v>
      </c>
      <c r="AL22" s="2">
        <f t="shared" si="8"/>
        <v>0</v>
      </c>
      <c r="AM22" s="2">
        <f t="shared" si="8"/>
        <v>0</v>
      </c>
      <c r="AN22" s="2">
        <f t="shared" si="8"/>
        <v>0</v>
      </c>
      <c r="AO22" s="2">
        <f t="shared" si="8"/>
        <v>0</v>
      </c>
      <c r="AP22" s="2">
        <f t="shared" si="8"/>
        <v>0</v>
      </c>
      <c r="AQ22" s="2">
        <f t="shared" si="8"/>
        <v>0</v>
      </c>
      <c r="AR22" s="2">
        <f t="shared" si="8"/>
        <v>6627373.0999999996</v>
      </c>
      <c r="AS22" s="2">
        <f t="shared" si="8"/>
        <v>0</v>
      </c>
      <c r="AT22" s="2">
        <f t="shared" si="8"/>
        <v>0</v>
      </c>
      <c r="AU22" s="2">
        <f t="shared" ref="AU22:BZ22" si="9">AU926</f>
        <v>6627373.0999999996</v>
      </c>
      <c r="AV22" s="2">
        <f t="shared" si="9"/>
        <v>3342900.05</v>
      </c>
      <c r="AW22" s="2">
        <f t="shared" si="9"/>
        <v>3342900.05</v>
      </c>
      <c r="AX22" s="2">
        <f t="shared" si="9"/>
        <v>0</v>
      </c>
      <c r="AY22" s="2">
        <f t="shared" si="9"/>
        <v>3342900.05</v>
      </c>
      <c r="AZ22" s="2">
        <f t="shared" si="9"/>
        <v>0</v>
      </c>
      <c r="BA22" s="2">
        <f t="shared" si="9"/>
        <v>0</v>
      </c>
      <c r="BB22" s="2">
        <f t="shared" si="9"/>
        <v>0</v>
      </c>
      <c r="BC22" s="2">
        <f t="shared" si="9"/>
        <v>0</v>
      </c>
      <c r="BD22" s="2">
        <f t="shared" si="9"/>
        <v>0</v>
      </c>
      <c r="BE22" s="2">
        <f t="shared" si="9"/>
        <v>0</v>
      </c>
      <c r="BF22" s="2">
        <f t="shared" si="9"/>
        <v>0</v>
      </c>
      <c r="BG22" s="2">
        <f t="shared" si="9"/>
        <v>0</v>
      </c>
      <c r="BH22" s="2">
        <f t="shared" si="9"/>
        <v>0</v>
      </c>
      <c r="BI22" s="2">
        <f t="shared" si="9"/>
        <v>0</v>
      </c>
      <c r="BJ22" s="2">
        <f t="shared" si="9"/>
        <v>0</v>
      </c>
      <c r="BK22" s="2">
        <f t="shared" si="9"/>
        <v>0</v>
      </c>
      <c r="BL22" s="2">
        <f t="shared" si="9"/>
        <v>0</v>
      </c>
      <c r="BM22" s="2">
        <f t="shared" si="9"/>
        <v>0</v>
      </c>
      <c r="BN22" s="2">
        <f t="shared" si="9"/>
        <v>0</v>
      </c>
      <c r="BO22" s="2">
        <f t="shared" si="9"/>
        <v>0</v>
      </c>
      <c r="BP22" s="2">
        <f t="shared" si="9"/>
        <v>0</v>
      </c>
      <c r="BQ22" s="2">
        <f t="shared" si="9"/>
        <v>0</v>
      </c>
      <c r="BR22" s="2">
        <f t="shared" si="9"/>
        <v>0</v>
      </c>
      <c r="BS22" s="2">
        <f t="shared" si="9"/>
        <v>0</v>
      </c>
      <c r="BT22" s="2">
        <f t="shared" si="9"/>
        <v>0</v>
      </c>
      <c r="BU22" s="2">
        <f t="shared" si="9"/>
        <v>0</v>
      </c>
      <c r="BV22" s="2">
        <f t="shared" si="9"/>
        <v>0</v>
      </c>
      <c r="BW22" s="2">
        <f t="shared" si="9"/>
        <v>0</v>
      </c>
      <c r="BX22" s="2">
        <f t="shared" si="9"/>
        <v>0</v>
      </c>
      <c r="BY22" s="2">
        <f t="shared" si="9"/>
        <v>0</v>
      </c>
      <c r="BZ22" s="2">
        <f t="shared" si="9"/>
        <v>0</v>
      </c>
      <c r="CA22" s="2">
        <f t="shared" ref="CA22:DF22" si="10">CA926</f>
        <v>0</v>
      </c>
      <c r="CB22" s="2">
        <f t="shared" si="10"/>
        <v>0</v>
      </c>
      <c r="CC22" s="2">
        <f t="shared" si="10"/>
        <v>0</v>
      </c>
      <c r="CD22" s="2">
        <f t="shared" si="10"/>
        <v>0</v>
      </c>
      <c r="CE22" s="2">
        <f t="shared" si="10"/>
        <v>0</v>
      </c>
      <c r="CF22" s="2">
        <f t="shared" si="10"/>
        <v>0</v>
      </c>
      <c r="CG22" s="2">
        <f t="shared" si="10"/>
        <v>0</v>
      </c>
      <c r="CH22" s="2">
        <f t="shared" si="10"/>
        <v>0</v>
      </c>
      <c r="CI22" s="2">
        <f t="shared" si="10"/>
        <v>0</v>
      </c>
      <c r="CJ22" s="2">
        <f t="shared" si="10"/>
        <v>0</v>
      </c>
      <c r="CK22" s="2">
        <f t="shared" si="10"/>
        <v>0</v>
      </c>
      <c r="CL22" s="2">
        <f t="shared" si="10"/>
        <v>0</v>
      </c>
      <c r="CM22" s="2">
        <f t="shared" si="10"/>
        <v>0</v>
      </c>
      <c r="CN22" s="2">
        <f t="shared" si="10"/>
        <v>0</v>
      </c>
      <c r="CO22" s="2">
        <f t="shared" si="10"/>
        <v>0</v>
      </c>
      <c r="CP22" s="2">
        <f t="shared" si="10"/>
        <v>0</v>
      </c>
      <c r="CQ22" s="2">
        <f t="shared" si="10"/>
        <v>0</v>
      </c>
      <c r="CR22" s="2">
        <f t="shared" si="10"/>
        <v>0</v>
      </c>
      <c r="CS22" s="2">
        <f t="shared" si="10"/>
        <v>0</v>
      </c>
      <c r="CT22" s="2">
        <f t="shared" si="10"/>
        <v>0</v>
      </c>
      <c r="CU22" s="2">
        <f t="shared" si="10"/>
        <v>0</v>
      </c>
      <c r="CV22" s="2">
        <f t="shared" si="10"/>
        <v>0</v>
      </c>
      <c r="CW22" s="2">
        <f t="shared" si="10"/>
        <v>0</v>
      </c>
      <c r="CX22" s="2">
        <f t="shared" si="10"/>
        <v>0</v>
      </c>
      <c r="CY22" s="2">
        <f t="shared" si="10"/>
        <v>0</v>
      </c>
      <c r="CZ22" s="2">
        <f t="shared" si="10"/>
        <v>0</v>
      </c>
      <c r="DA22" s="2">
        <f t="shared" si="10"/>
        <v>0</v>
      </c>
      <c r="DB22" s="2">
        <f t="shared" si="10"/>
        <v>0</v>
      </c>
      <c r="DC22" s="2">
        <f t="shared" si="10"/>
        <v>0</v>
      </c>
      <c r="DD22" s="2">
        <f t="shared" si="10"/>
        <v>0</v>
      </c>
      <c r="DE22" s="2">
        <f t="shared" si="10"/>
        <v>0</v>
      </c>
      <c r="DF22" s="2">
        <f t="shared" si="10"/>
        <v>0</v>
      </c>
      <c r="DG22" s="3">
        <f t="shared" ref="DG22:EL22" si="11">DG926</f>
        <v>0</v>
      </c>
      <c r="DH22" s="3">
        <f t="shared" si="11"/>
        <v>0</v>
      </c>
      <c r="DI22" s="3">
        <f t="shared" si="11"/>
        <v>0</v>
      </c>
      <c r="DJ22" s="3">
        <f t="shared" si="11"/>
        <v>0</v>
      </c>
      <c r="DK22" s="3">
        <f t="shared" si="11"/>
        <v>0</v>
      </c>
      <c r="DL22" s="3">
        <f t="shared" si="11"/>
        <v>0</v>
      </c>
      <c r="DM22" s="3">
        <f t="shared" si="11"/>
        <v>0</v>
      </c>
      <c r="DN22" s="3">
        <f t="shared" si="11"/>
        <v>0</v>
      </c>
      <c r="DO22" s="3">
        <f t="shared" si="11"/>
        <v>0</v>
      </c>
      <c r="DP22" s="3">
        <f t="shared" si="11"/>
        <v>0</v>
      </c>
      <c r="DQ22" s="3">
        <f t="shared" si="11"/>
        <v>0</v>
      </c>
      <c r="DR22" s="3">
        <f t="shared" si="11"/>
        <v>0</v>
      </c>
      <c r="DS22" s="3">
        <f t="shared" si="11"/>
        <v>0</v>
      </c>
      <c r="DT22" s="3">
        <f t="shared" si="11"/>
        <v>0</v>
      </c>
      <c r="DU22" s="3">
        <f t="shared" si="11"/>
        <v>0</v>
      </c>
      <c r="DV22" s="3">
        <f t="shared" si="11"/>
        <v>0</v>
      </c>
      <c r="DW22" s="3">
        <f t="shared" si="11"/>
        <v>0</v>
      </c>
      <c r="DX22" s="3">
        <f t="shared" si="11"/>
        <v>0</v>
      </c>
      <c r="DY22" s="3">
        <f t="shared" si="11"/>
        <v>0</v>
      </c>
      <c r="DZ22" s="3">
        <f t="shared" si="11"/>
        <v>0</v>
      </c>
      <c r="EA22" s="3">
        <f t="shared" si="11"/>
        <v>0</v>
      </c>
      <c r="EB22" s="3">
        <f t="shared" si="11"/>
        <v>0</v>
      </c>
      <c r="EC22" s="3">
        <f t="shared" si="11"/>
        <v>0</v>
      </c>
      <c r="ED22" s="3">
        <f t="shared" si="11"/>
        <v>0</v>
      </c>
      <c r="EE22" s="3">
        <f t="shared" si="11"/>
        <v>0</v>
      </c>
      <c r="EF22" s="3">
        <f t="shared" si="11"/>
        <v>0</v>
      </c>
      <c r="EG22" s="3">
        <f t="shared" si="11"/>
        <v>0</v>
      </c>
      <c r="EH22" s="3">
        <f t="shared" si="11"/>
        <v>0</v>
      </c>
      <c r="EI22" s="3">
        <f t="shared" si="11"/>
        <v>0</v>
      </c>
      <c r="EJ22" s="3">
        <f t="shared" si="11"/>
        <v>0</v>
      </c>
      <c r="EK22" s="3">
        <f t="shared" si="11"/>
        <v>0</v>
      </c>
      <c r="EL22" s="3">
        <f t="shared" si="11"/>
        <v>0</v>
      </c>
      <c r="EM22" s="3">
        <f t="shared" ref="EM22:FR22" si="12">EM926</f>
        <v>0</v>
      </c>
      <c r="EN22" s="3">
        <f t="shared" si="12"/>
        <v>0</v>
      </c>
      <c r="EO22" s="3">
        <f t="shared" si="12"/>
        <v>0</v>
      </c>
      <c r="EP22" s="3">
        <f t="shared" si="12"/>
        <v>0</v>
      </c>
      <c r="EQ22" s="3">
        <f t="shared" si="12"/>
        <v>0</v>
      </c>
      <c r="ER22" s="3">
        <f t="shared" si="12"/>
        <v>0</v>
      </c>
      <c r="ES22" s="3">
        <f t="shared" si="12"/>
        <v>0</v>
      </c>
      <c r="ET22" s="3">
        <f t="shared" si="12"/>
        <v>0</v>
      </c>
      <c r="EU22" s="3">
        <f t="shared" si="12"/>
        <v>0</v>
      </c>
      <c r="EV22" s="3">
        <f t="shared" si="12"/>
        <v>0</v>
      </c>
      <c r="EW22" s="3">
        <f t="shared" si="12"/>
        <v>0</v>
      </c>
      <c r="EX22" s="3">
        <f t="shared" si="12"/>
        <v>0</v>
      </c>
      <c r="EY22" s="3">
        <f t="shared" si="12"/>
        <v>0</v>
      </c>
      <c r="EZ22" s="3">
        <f t="shared" si="12"/>
        <v>0</v>
      </c>
      <c r="FA22" s="3">
        <f t="shared" si="12"/>
        <v>0</v>
      </c>
      <c r="FB22" s="3">
        <f t="shared" si="12"/>
        <v>0</v>
      </c>
      <c r="FC22" s="3">
        <f t="shared" si="12"/>
        <v>0</v>
      </c>
      <c r="FD22" s="3">
        <f t="shared" si="12"/>
        <v>0</v>
      </c>
      <c r="FE22" s="3">
        <f t="shared" si="12"/>
        <v>0</v>
      </c>
      <c r="FF22" s="3">
        <f t="shared" si="12"/>
        <v>0</v>
      </c>
      <c r="FG22" s="3">
        <f t="shared" si="12"/>
        <v>0</v>
      </c>
      <c r="FH22" s="3">
        <f t="shared" si="12"/>
        <v>0</v>
      </c>
      <c r="FI22" s="3">
        <f t="shared" si="12"/>
        <v>0</v>
      </c>
      <c r="FJ22" s="3">
        <f t="shared" si="12"/>
        <v>0</v>
      </c>
      <c r="FK22" s="3">
        <f t="shared" si="12"/>
        <v>0</v>
      </c>
      <c r="FL22" s="3">
        <f t="shared" si="12"/>
        <v>0</v>
      </c>
      <c r="FM22" s="3">
        <f t="shared" si="12"/>
        <v>0</v>
      </c>
      <c r="FN22" s="3">
        <f t="shared" si="12"/>
        <v>0</v>
      </c>
      <c r="FO22" s="3">
        <f t="shared" si="12"/>
        <v>0</v>
      </c>
      <c r="FP22" s="3">
        <f t="shared" si="12"/>
        <v>0</v>
      </c>
      <c r="FQ22" s="3">
        <f t="shared" si="12"/>
        <v>0</v>
      </c>
      <c r="FR22" s="3">
        <f t="shared" si="12"/>
        <v>0</v>
      </c>
      <c r="FS22" s="3">
        <f t="shared" ref="FS22:GX22" si="13">FS926</f>
        <v>0</v>
      </c>
      <c r="FT22" s="3">
        <f t="shared" si="13"/>
        <v>0</v>
      </c>
      <c r="FU22" s="3">
        <f t="shared" si="13"/>
        <v>0</v>
      </c>
      <c r="FV22" s="3">
        <f t="shared" si="13"/>
        <v>0</v>
      </c>
      <c r="FW22" s="3">
        <f t="shared" si="13"/>
        <v>0</v>
      </c>
      <c r="FX22" s="3">
        <f t="shared" si="13"/>
        <v>0</v>
      </c>
      <c r="FY22" s="3">
        <f t="shared" si="13"/>
        <v>0</v>
      </c>
      <c r="FZ22" s="3">
        <f t="shared" si="13"/>
        <v>0</v>
      </c>
      <c r="GA22" s="3">
        <f t="shared" si="13"/>
        <v>0</v>
      </c>
      <c r="GB22" s="3">
        <f t="shared" si="13"/>
        <v>0</v>
      </c>
      <c r="GC22" s="3">
        <f t="shared" si="13"/>
        <v>0</v>
      </c>
      <c r="GD22" s="3">
        <f t="shared" si="13"/>
        <v>0</v>
      </c>
      <c r="GE22" s="3">
        <f t="shared" si="13"/>
        <v>0</v>
      </c>
      <c r="GF22" s="3">
        <f t="shared" si="13"/>
        <v>0</v>
      </c>
      <c r="GG22" s="3">
        <f t="shared" si="13"/>
        <v>0</v>
      </c>
      <c r="GH22" s="3">
        <f t="shared" si="13"/>
        <v>0</v>
      </c>
      <c r="GI22" s="3">
        <f t="shared" si="13"/>
        <v>0</v>
      </c>
      <c r="GJ22" s="3">
        <f t="shared" si="13"/>
        <v>0</v>
      </c>
      <c r="GK22" s="3">
        <f t="shared" si="13"/>
        <v>0</v>
      </c>
      <c r="GL22" s="3">
        <f t="shared" si="13"/>
        <v>0</v>
      </c>
      <c r="GM22" s="3">
        <f t="shared" si="13"/>
        <v>0</v>
      </c>
      <c r="GN22" s="3">
        <f t="shared" si="13"/>
        <v>0</v>
      </c>
      <c r="GO22" s="3">
        <f t="shared" si="13"/>
        <v>0</v>
      </c>
      <c r="GP22" s="3">
        <f t="shared" si="13"/>
        <v>0</v>
      </c>
      <c r="GQ22" s="3">
        <f t="shared" si="13"/>
        <v>0</v>
      </c>
      <c r="GR22" s="3">
        <f t="shared" si="13"/>
        <v>0</v>
      </c>
      <c r="GS22" s="3">
        <f t="shared" si="13"/>
        <v>0</v>
      </c>
      <c r="GT22" s="3">
        <f t="shared" si="13"/>
        <v>0</v>
      </c>
      <c r="GU22" s="3">
        <f t="shared" si="13"/>
        <v>0</v>
      </c>
      <c r="GV22" s="3">
        <f t="shared" si="13"/>
        <v>0</v>
      </c>
      <c r="GW22" s="3">
        <f t="shared" si="13"/>
        <v>0</v>
      </c>
      <c r="GX22" s="3">
        <f t="shared" si="13"/>
        <v>0</v>
      </c>
    </row>
    <row r="24" spans="1:245" x14ac:dyDescent="0.2">
      <c r="A24" s="1">
        <v>4</v>
      </c>
      <c r="B24" s="1">
        <v>1</v>
      </c>
      <c r="C24" s="1"/>
      <c r="D24" s="1">
        <f>ROW(A124)</f>
        <v>124</v>
      </c>
      <c r="E24" s="1"/>
      <c r="F24" s="1" t="s">
        <v>12</v>
      </c>
      <c r="G24" s="1" t="s">
        <v>13</v>
      </c>
      <c r="H24" s="1" t="s">
        <v>3</v>
      </c>
      <c r="I24" s="1">
        <v>0</v>
      </c>
      <c r="J24" s="1"/>
      <c r="K24" s="1">
        <v>0</v>
      </c>
      <c r="L24" s="1"/>
      <c r="M24" s="1"/>
      <c r="N24" s="1"/>
      <c r="O24" s="1"/>
      <c r="P24" s="1"/>
      <c r="Q24" s="1"/>
      <c r="R24" s="1"/>
      <c r="S24" s="1"/>
      <c r="T24" s="1"/>
      <c r="U24" s="1" t="s">
        <v>3</v>
      </c>
      <c r="V24" s="1">
        <v>0</v>
      </c>
      <c r="W24" s="1"/>
      <c r="X24" s="1"/>
      <c r="Y24" s="1"/>
      <c r="Z24" s="1"/>
      <c r="AA24" s="1"/>
      <c r="AB24" s="1" t="s">
        <v>3</v>
      </c>
      <c r="AC24" s="1" t="s">
        <v>3</v>
      </c>
      <c r="AD24" s="1" t="s">
        <v>3</v>
      </c>
      <c r="AE24" s="1" t="s">
        <v>3</v>
      </c>
      <c r="AF24" s="1" t="s">
        <v>3</v>
      </c>
      <c r="AG24" s="1" t="s">
        <v>3</v>
      </c>
      <c r="AH24" s="1"/>
      <c r="AI24" s="1"/>
      <c r="AJ24" s="1"/>
      <c r="AK24" s="1"/>
      <c r="AL24" s="1"/>
      <c r="AM24" s="1"/>
      <c r="AN24" s="1"/>
      <c r="AO24" s="1"/>
      <c r="AP24" s="1" t="s">
        <v>3</v>
      </c>
      <c r="AQ24" s="1" t="s">
        <v>3</v>
      </c>
      <c r="AR24" s="1" t="s">
        <v>3</v>
      </c>
      <c r="AS24" s="1"/>
      <c r="AT24" s="1"/>
      <c r="AU24" s="1"/>
      <c r="AV24" s="1"/>
      <c r="AW24" s="1"/>
      <c r="AX24" s="1"/>
      <c r="AY24" s="1"/>
      <c r="AZ24" s="1" t="s">
        <v>3</v>
      </c>
      <c r="BA24" s="1"/>
      <c r="BB24" s="1" t="s">
        <v>3</v>
      </c>
      <c r="BC24" s="1" t="s">
        <v>3</v>
      </c>
      <c r="BD24" s="1" t="s">
        <v>3</v>
      </c>
      <c r="BE24" s="1" t="s">
        <v>3</v>
      </c>
      <c r="BF24" s="1" t="s">
        <v>3</v>
      </c>
      <c r="BG24" s="1" t="s">
        <v>3</v>
      </c>
      <c r="BH24" s="1" t="s">
        <v>3</v>
      </c>
      <c r="BI24" s="1" t="s">
        <v>3</v>
      </c>
      <c r="BJ24" s="1" t="s">
        <v>3</v>
      </c>
      <c r="BK24" s="1" t="s">
        <v>3</v>
      </c>
      <c r="BL24" s="1" t="s">
        <v>3</v>
      </c>
      <c r="BM24" s="1" t="s">
        <v>3</v>
      </c>
      <c r="BN24" s="1" t="s">
        <v>3</v>
      </c>
      <c r="BO24" s="1" t="s">
        <v>3</v>
      </c>
      <c r="BP24" s="1" t="s">
        <v>3</v>
      </c>
      <c r="BQ24" s="1"/>
      <c r="BR24" s="1"/>
      <c r="BS24" s="1"/>
      <c r="BT24" s="1"/>
      <c r="BU24" s="1"/>
      <c r="BV24" s="1"/>
      <c r="BW24" s="1"/>
      <c r="BX24" s="1">
        <v>0</v>
      </c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>
        <v>0</v>
      </c>
    </row>
    <row r="26" spans="1:245" x14ac:dyDescent="0.2">
      <c r="A26" s="2">
        <v>52</v>
      </c>
      <c r="B26" s="2">
        <f t="shared" ref="B26:G26" si="14">B124</f>
        <v>1</v>
      </c>
      <c r="C26" s="2">
        <f t="shared" si="14"/>
        <v>4</v>
      </c>
      <c r="D26" s="2">
        <f t="shared" si="14"/>
        <v>24</v>
      </c>
      <c r="E26" s="2">
        <f t="shared" si="14"/>
        <v>0</v>
      </c>
      <c r="F26" s="2" t="str">
        <f t="shared" si="14"/>
        <v>Новый раздел</v>
      </c>
      <c r="G26" s="2" t="str">
        <f t="shared" si="14"/>
        <v>Веранды</v>
      </c>
      <c r="H26" s="2"/>
      <c r="I26" s="2"/>
      <c r="J26" s="2"/>
      <c r="K26" s="2"/>
      <c r="L26" s="2"/>
      <c r="M26" s="2"/>
      <c r="N26" s="2"/>
      <c r="O26" s="2">
        <f t="shared" ref="O26:AT26" si="15">O124</f>
        <v>824378.13</v>
      </c>
      <c r="P26" s="2">
        <f t="shared" si="15"/>
        <v>455289.22</v>
      </c>
      <c r="Q26" s="2">
        <f t="shared" si="15"/>
        <v>134566.48000000001</v>
      </c>
      <c r="R26" s="2">
        <f t="shared" si="15"/>
        <v>75336.649999999994</v>
      </c>
      <c r="S26" s="2">
        <f t="shared" si="15"/>
        <v>234522.43</v>
      </c>
      <c r="T26" s="2">
        <f t="shared" si="15"/>
        <v>0</v>
      </c>
      <c r="U26" s="2">
        <f t="shared" si="15"/>
        <v>1034.3059625999999</v>
      </c>
      <c r="V26" s="2">
        <f t="shared" si="15"/>
        <v>0</v>
      </c>
      <c r="W26" s="2">
        <f t="shared" si="15"/>
        <v>0</v>
      </c>
      <c r="X26" s="2">
        <f t="shared" si="15"/>
        <v>164165.69</v>
      </c>
      <c r="Y26" s="2">
        <f t="shared" si="15"/>
        <v>23452.26</v>
      </c>
      <c r="Z26" s="2">
        <f t="shared" si="15"/>
        <v>0</v>
      </c>
      <c r="AA26" s="2">
        <f t="shared" si="15"/>
        <v>0</v>
      </c>
      <c r="AB26" s="2">
        <f t="shared" si="15"/>
        <v>0</v>
      </c>
      <c r="AC26" s="2">
        <f t="shared" si="15"/>
        <v>0</v>
      </c>
      <c r="AD26" s="2">
        <f t="shared" si="15"/>
        <v>0</v>
      </c>
      <c r="AE26" s="2">
        <f t="shared" si="15"/>
        <v>0</v>
      </c>
      <c r="AF26" s="2">
        <f t="shared" si="15"/>
        <v>0</v>
      </c>
      <c r="AG26" s="2">
        <f t="shared" si="15"/>
        <v>0</v>
      </c>
      <c r="AH26" s="2">
        <f t="shared" si="15"/>
        <v>0</v>
      </c>
      <c r="AI26" s="2">
        <f t="shared" si="15"/>
        <v>0</v>
      </c>
      <c r="AJ26" s="2">
        <f t="shared" si="15"/>
        <v>0</v>
      </c>
      <c r="AK26" s="2">
        <f t="shared" si="15"/>
        <v>0</v>
      </c>
      <c r="AL26" s="2">
        <f t="shared" si="15"/>
        <v>0</v>
      </c>
      <c r="AM26" s="2">
        <f t="shared" si="15"/>
        <v>0</v>
      </c>
      <c r="AN26" s="2">
        <f t="shared" si="15"/>
        <v>0</v>
      </c>
      <c r="AO26" s="2">
        <f t="shared" si="15"/>
        <v>0</v>
      </c>
      <c r="AP26" s="2">
        <f t="shared" si="15"/>
        <v>0</v>
      </c>
      <c r="AQ26" s="2">
        <f t="shared" si="15"/>
        <v>0</v>
      </c>
      <c r="AR26" s="2">
        <f t="shared" si="15"/>
        <v>1093359.6499999999</v>
      </c>
      <c r="AS26" s="2">
        <f t="shared" si="15"/>
        <v>0</v>
      </c>
      <c r="AT26" s="2">
        <f t="shared" si="15"/>
        <v>0</v>
      </c>
      <c r="AU26" s="2">
        <f t="shared" ref="AU26:BZ26" si="16">AU124</f>
        <v>1093359.6499999999</v>
      </c>
      <c r="AV26" s="2">
        <f t="shared" si="16"/>
        <v>455289.22</v>
      </c>
      <c r="AW26" s="2">
        <f t="shared" si="16"/>
        <v>455289.22</v>
      </c>
      <c r="AX26" s="2">
        <f t="shared" si="16"/>
        <v>0</v>
      </c>
      <c r="AY26" s="2">
        <f t="shared" si="16"/>
        <v>455289.22</v>
      </c>
      <c r="AZ26" s="2">
        <f t="shared" si="16"/>
        <v>0</v>
      </c>
      <c r="BA26" s="2">
        <f t="shared" si="16"/>
        <v>0</v>
      </c>
      <c r="BB26" s="2">
        <f t="shared" si="16"/>
        <v>0</v>
      </c>
      <c r="BC26" s="2">
        <f t="shared" si="16"/>
        <v>0</v>
      </c>
      <c r="BD26" s="2">
        <f t="shared" si="16"/>
        <v>0</v>
      </c>
      <c r="BE26" s="2">
        <f t="shared" si="16"/>
        <v>0</v>
      </c>
      <c r="BF26" s="2">
        <f t="shared" si="16"/>
        <v>0</v>
      </c>
      <c r="BG26" s="2">
        <f t="shared" si="16"/>
        <v>0</v>
      </c>
      <c r="BH26" s="2">
        <f t="shared" si="16"/>
        <v>0</v>
      </c>
      <c r="BI26" s="2">
        <f t="shared" si="16"/>
        <v>0</v>
      </c>
      <c r="BJ26" s="2">
        <f t="shared" si="16"/>
        <v>0</v>
      </c>
      <c r="BK26" s="2">
        <f t="shared" si="16"/>
        <v>0</v>
      </c>
      <c r="BL26" s="2">
        <f t="shared" si="16"/>
        <v>0</v>
      </c>
      <c r="BM26" s="2">
        <f t="shared" si="16"/>
        <v>0</v>
      </c>
      <c r="BN26" s="2">
        <f t="shared" si="16"/>
        <v>0</v>
      </c>
      <c r="BO26" s="2">
        <f t="shared" si="16"/>
        <v>0</v>
      </c>
      <c r="BP26" s="2">
        <f t="shared" si="16"/>
        <v>0</v>
      </c>
      <c r="BQ26" s="2">
        <f t="shared" si="16"/>
        <v>0</v>
      </c>
      <c r="BR26" s="2">
        <f t="shared" si="16"/>
        <v>0</v>
      </c>
      <c r="BS26" s="2">
        <f t="shared" si="16"/>
        <v>0</v>
      </c>
      <c r="BT26" s="2">
        <f t="shared" si="16"/>
        <v>0</v>
      </c>
      <c r="BU26" s="2">
        <f t="shared" si="16"/>
        <v>0</v>
      </c>
      <c r="BV26" s="2">
        <f t="shared" si="16"/>
        <v>0</v>
      </c>
      <c r="BW26" s="2">
        <f t="shared" si="16"/>
        <v>0</v>
      </c>
      <c r="BX26" s="2">
        <f t="shared" si="16"/>
        <v>0</v>
      </c>
      <c r="BY26" s="2">
        <f t="shared" si="16"/>
        <v>0</v>
      </c>
      <c r="BZ26" s="2">
        <f t="shared" si="16"/>
        <v>0</v>
      </c>
      <c r="CA26" s="2">
        <f t="shared" ref="CA26:DF26" si="17">CA124</f>
        <v>0</v>
      </c>
      <c r="CB26" s="2">
        <f t="shared" si="17"/>
        <v>0</v>
      </c>
      <c r="CC26" s="2">
        <f t="shared" si="17"/>
        <v>0</v>
      </c>
      <c r="CD26" s="2">
        <f t="shared" si="17"/>
        <v>0</v>
      </c>
      <c r="CE26" s="2">
        <f t="shared" si="17"/>
        <v>0</v>
      </c>
      <c r="CF26" s="2">
        <f t="shared" si="17"/>
        <v>0</v>
      </c>
      <c r="CG26" s="2">
        <f t="shared" si="17"/>
        <v>0</v>
      </c>
      <c r="CH26" s="2">
        <f t="shared" si="17"/>
        <v>0</v>
      </c>
      <c r="CI26" s="2">
        <f t="shared" si="17"/>
        <v>0</v>
      </c>
      <c r="CJ26" s="2">
        <f t="shared" si="17"/>
        <v>0</v>
      </c>
      <c r="CK26" s="2">
        <f t="shared" si="17"/>
        <v>0</v>
      </c>
      <c r="CL26" s="2">
        <f t="shared" si="17"/>
        <v>0</v>
      </c>
      <c r="CM26" s="2">
        <f t="shared" si="17"/>
        <v>0</v>
      </c>
      <c r="CN26" s="2">
        <f t="shared" si="17"/>
        <v>0</v>
      </c>
      <c r="CO26" s="2">
        <f t="shared" si="17"/>
        <v>0</v>
      </c>
      <c r="CP26" s="2">
        <f t="shared" si="17"/>
        <v>0</v>
      </c>
      <c r="CQ26" s="2">
        <f t="shared" si="17"/>
        <v>0</v>
      </c>
      <c r="CR26" s="2">
        <f t="shared" si="17"/>
        <v>0</v>
      </c>
      <c r="CS26" s="2">
        <f t="shared" si="17"/>
        <v>0</v>
      </c>
      <c r="CT26" s="2">
        <f t="shared" si="17"/>
        <v>0</v>
      </c>
      <c r="CU26" s="2">
        <f t="shared" si="17"/>
        <v>0</v>
      </c>
      <c r="CV26" s="2">
        <f t="shared" si="17"/>
        <v>0</v>
      </c>
      <c r="CW26" s="2">
        <f t="shared" si="17"/>
        <v>0</v>
      </c>
      <c r="CX26" s="2">
        <f t="shared" si="17"/>
        <v>0</v>
      </c>
      <c r="CY26" s="2">
        <f t="shared" si="17"/>
        <v>0</v>
      </c>
      <c r="CZ26" s="2">
        <f t="shared" si="17"/>
        <v>0</v>
      </c>
      <c r="DA26" s="2">
        <f t="shared" si="17"/>
        <v>0</v>
      </c>
      <c r="DB26" s="2">
        <f t="shared" si="17"/>
        <v>0</v>
      </c>
      <c r="DC26" s="2">
        <f t="shared" si="17"/>
        <v>0</v>
      </c>
      <c r="DD26" s="2">
        <f t="shared" si="17"/>
        <v>0</v>
      </c>
      <c r="DE26" s="2">
        <f t="shared" si="17"/>
        <v>0</v>
      </c>
      <c r="DF26" s="2">
        <f t="shared" si="17"/>
        <v>0</v>
      </c>
      <c r="DG26" s="3">
        <f t="shared" ref="DG26:EL26" si="18">DG124</f>
        <v>0</v>
      </c>
      <c r="DH26" s="3">
        <f t="shared" si="18"/>
        <v>0</v>
      </c>
      <c r="DI26" s="3">
        <f t="shared" si="18"/>
        <v>0</v>
      </c>
      <c r="DJ26" s="3">
        <f t="shared" si="18"/>
        <v>0</v>
      </c>
      <c r="DK26" s="3">
        <f t="shared" si="18"/>
        <v>0</v>
      </c>
      <c r="DL26" s="3">
        <f t="shared" si="18"/>
        <v>0</v>
      </c>
      <c r="DM26" s="3">
        <f t="shared" si="18"/>
        <v>0</v>
      </c>
      <c r="DN26" s="3">
        <f t="shared" si="18"/>
        <v>0</v>
      </c>
      <c r="DO26" s="3">
        <f t="shared" si="18"/>
        <v>0</v>
      </c>
      <c r="DP26" s="3">
        <f t="shared" si="18"/>
        <v>0</v>
      </c>
      <c r="DQ26" s="3">
        <f t="shared" si="18"/>
        <v>0</v>
      </c>
      <c r="DR26" s="3">
        <f t="shared" si="18"/>
        <v>0</v>
      </c>
      <c r="DS26" s="3">
        <f t="shared" si="18"/>
        <v>0</v>
      </c>
      <c r="DT26" s="3">
        <f t="shared" si="18"/>
        <v>0</v>
      </c>
      <c r="DU26" s="3">
        <f t="shared" si="18"/>
        <v>0</v>
      </c>
      <c r="DV26" s="3">
        <f t="shared" si="18"/>
        <v>0</v>
      </c>
      <c r="DW26" s="3">
        <f t="shared" si="18"/>
        <v>0</v>
      </c>
      <c r="DX26" s="3">
        <f t="shared" si="18"/>
        <v>0</v>
      </c>
      <c r="DY26" s="3">
        <f t="shared" si="18"/>
        <v>0</v>
      </c>
      <c r="DZ26" s="3">
        <f t="shared" si="18"/>
        <v>0</v>
      </c>
      <c r="EA26" s="3">
        <f t="shared" si="18"/>
        <v>0</v>
      </c>
      <c r="EB26" s="3">
        <f t="shared" si="18"/>
        <v>0</v>
      </c>
      <c r="EC26" s="3">
        <f t="shared" si="18"/>
        <v>0</v>
      </c>
      <c r="ED26" s="3">
        <f t="shared" si="18"/>
        <v>0</v>
      </c>
      <c r="EE26" s="3">
        <f t="shared" si="18"/>
        <v>0</v>
      </c>
      <c r="EF26" s="3">
        <f t="shared" si="18"/>
        <v>0</v>
      </c>
      <c r="EG26" s="3">
        <f t="shared" si="18"/>
        <v>0</v>
      </c>
      <c r="EH26" s="3">
        <f t="shared" si="18"/>
        <v>0</v>
      </c>
      <c r="EI26" s="3">
        <f t="shared" si="18"/>
        <v>0</v>
      </c>
      <c r="EJ26" s="3">
        <f t="shared" si="18"/>
        <v>0</v>
      </c>
      <c r="EK26" s="3">
        <f t="shared" si="18"/>
        <v>0</v>
      </c>
      <c r="EL26" s="3">
        <f t="shared" si="18"/>
        <v>0</v>
      </c>
      <c r="EM26" s="3">
        <f t="shared" ref="EM26:FR26" si="19">EM124</f>
        <v>0</v>
      </c>
      <c r="EN26" s="3">
        <f t="shared" si="19"/>
        <v>0</v>
      </c>
      <c r="EO26" s="3">
        <f t="shared" si="19"/>
        <v>0</v>
      </c>
      <c r="EP26" s="3">
        <f t="shared" si="19"/>
        <v>0</v>
      </c>
      <c r="EQ26" s="3">
        <f t="shared" si="19"/>
        <v>0</v>
      </c>
      <c r="ER26" s="3">
        <f t="shared" si="19"/>
        <v>0</v>
      </c>
      <c r="ES26" s="3">
        <f t="shared" si="19"/>
        <v>0</v>
      </c>
      <c r="ET26" s="3">
        <f t="shared" si="19"/>
        <v>0</v>
      </c>
      <c r="EU26" s="3">
        <f t="shared" si="19"/>
        <v>0</v>
      </c>
      <c r="EV26" s="3">
        <f t="shared" si="19"/>
        <v>0</v>
      </c>
      <c r="EW26" s="3">
        <f t="shared" si="19"/>
        <v>0</v>
      </c>
      <c r="EX26" s="3">
        <f t="shared" si="19"/>
        <v>0</v>
      </c>
      <c r="EY26" s="3">
        <f t="shared" si="19"/>
        <v>0</v>
      </c>
      <c r="EZ26" s="3">
        <f t="shared" si="19"/>
        <v>0</v>
      </c>
      <c r="FA26" s="3">
        <f t="shared" si="19"/>
        <v>0</v>
      </c>
      <c r="FB26" s="3">
        <f t="shared" si="19"/>
        <v>0</v>
      </c>
      <c r="FC26" s="3">
        <f t="shared" si="19"/>
        <v>0</v>
      </c>
      <c r="FD26" s="3">
        <f t="shared" si="19"/>
        <v>0</v>
      </c>
      <c r="FE26" s="3">
        <f t="shared" si="19"/>
        <v>0</v>
      </c>
      <c r="FF26" s="3">
        <f t="shared" si="19"/>
        <v>0</v>
      </c>
      <c r="FG26" s="3">
        <f t="shared" si="19"/>
        <v>0</v>
      </c>
      <c r="FH26" s="3">
        <f t="shared" si="19"/>
        <v>0</v>
      </c>
      <c r="FI26" s="3">
        <f t="shared" si="19"/>
        <v>0</v>
      </c>
      <c r="FJ26" s="3">
        <f t="shared" si="19"/>
        <v>0</v>
      </c>
      <c r="FK26" s="3">
        <f t="shared" si="19"/>
        <v>0</v>
      </c>
      <c r="FL26" s="3">
        <f t="shared" si="19"/>
        <v>0</v>
      </c>
      <c r="FM26" s="3">
        <f t="shared" si="19"/>
        <v>0</v>
      </c>
      <c r="FN26" s="3">
        <f t="shared" si="19"/>
        <v>0</v>
      </c>
      <c r="FO26" s="3">
        <f t="shared" si="19"/>
        <v>0</v>
      </c>
      <c r="FP26" s="3">
        <f t="shared" si="19"/>
        <v>0</v>
      </c>
      <c r="FQ26" s="3">
        <f t="shared" si="19"/>
        <v>0</v>
      </c>
      <c r="FR26" s="3">
        <f t="shared" si="19"/>
        <v>0</v>
      </c>
      <c r="FS26" s="3">
        <f t="shared" ref="FS26:GX26" si="20">FS124</f>
        <v>0</v>
      </c>
      <c r="FT26" s="3">
        <f t="shared" si="20"/>
        <v>0</v>
      </c>
      <c r="FU26" s="3">
        <f t="shared" si="20"/>
        <v>0</v>
      </c>
      <c r="FV26" s="3">
        <f t="shared" si="20"/>
        <v>0</v>
      </c>
      <c r="FW26" s="3">
        <f t="shared" si="20"/>
        <v>0</v>
      </c>
      <c r="FX26" s="3">
        <f t="shared" si="20"/>
        <v>0</v>
      </c>
      <c r="FY26" s="3">
        <f t="shared" si="20"/>
        <v>0</v>
      </c>
      <c r="FZ26" s="3">
        <f t="shared" si="20"/>
        <v>0</v>
      </c>
      <c r="GA26" s="3">
        <f t="shared" si="20"/>
        <v>0</v>
      </c>
      <c r="GB26" s="3">
        <f t="shared" si="20"/>
        <v>0</v>
      </c>
      <c r="GC26" s="3">
        <f t="shared" si="20"/>
        <v>0</v>
      </c>
      <c r="GD26" s="3">
        <f t="shared" si="20"/>
        <v>0</v>
      </c>
      <c r="GE26" s="3">
        <f t="shared" si="20"/>
        <v>0</v>
      </c>
      <c r="GF26" s="3">
        <f t="shared" si="20"/>
        <v>0</v>
      </c>
      <c r="GG26" s="3">
        <f t="shared" si="20"/>
        <v>0</v>
      </c>
      <c r="GH26" s="3">
        <f t="shared" si="20"/>
        <v>0</v>
      </c>
      <c r="GI26" s="3">
        <f t="shared" si="20"/>
        <v>0</v>
      </c>
      <c r="GJ26" s="3">
        <f t="shared" si="20"/>
        <v>0</v>
      </c>
      <c r="GK26" s="3">
        <f t="shared" si="20"/>
        <v>0</v>
      </c>
      <c r="GL26" s="3">
        <f t="shared" si="20"/>
        <v>0</v>
      </c>
      <c r="GM26" s="3">
        <f t="shared" si="20"/>
        <v>0</v>
      </c>
      <c r="GN26" s="3">
        <f t="shared" si="20"/>
        <v>0</v>
      </c>
      <c r="GO26" s="3">
        <f t="shared" si="20"/>
        <v>0</v>
      </c>
      <c r="GP26" s="3">
        <f t="shared" si="20"/>
        <v>0</v>
      </c>
      <c r="GQ26" s="3">
        <f t="shared" si="20"/>
        <v>0</v>
      </c>
      <c r="GR26" s="3">
        <f t="shared" si="20"/>
        <v>0</v>
      </c>
      <c r="GS26" s="3">
        <f t="shared" si="20"/>
        <v>0</v>
      </c>
      <c r="GT26" s="3">
        <f t="shared" si="20"/>
        <v>0</v>
      </c>
      <c r="GU26" s="3">
        <f t="shared" si="20"/>
        <v>0</v>
      </c>
      <c r="GV26" s="3">
        <f t="shared" si="20"/>
        <v>0</v>
      </c>
      <c r="GW26" s="3">
        <f t="shared" si="20"/>
        <v>0</v>
      </c>
      <c r="GX26" s="3">
        <f t="shared" si="20"/>
        <v>0</v>
      </c>
    </row>
    <row r="28" spans="1:245" x14ac:dyDescent="0.2">
      <c r="A28" s="1">
        <v>5</v>
      </c>
      <c r="B28" s="1">
        <v>1</v>
      </c>
      <c r="C28" s="1"/>
      <c r="D28" s="1">
        <f>ROW(A40)</f>
        <v>40</v>
      </c>
      <c r="E28" s="1"/>
      <c r="F28" s="1" t="s">
        <v>14</v>
      </c>
      <c r="G28" s="1" t="s">
        <v>15</v>
      </c>
      <c r="H28" s="1" t="s">
        <v>3</v>
      </c>
      <c r="I28" s="1">
        <v>0</v>
      </c>
      <c r="J28" s="1"/>
      <c r="K28" s="1">
        <v>0</v>
      </c>
      <c r="L28" s="1"/>
      <c r="M28" s="1"/>
      <c r="N28" s="1"/>
      <c r="O28" s="1"/>
      <c r="P28" s="1"/>
      <c r="Q28" s="1"/>
      <c r="R28" s="1"/>
      <c r="S28" s="1"/>
      <c r="T28" s="1"/>
      <c r="U28" s="1" t="s">
        <v>3</v>
      </c>
      <c r="V28" s="1">
        <v>0</v>
      </c>
      <c r="W28" s="1"/>
      <c r="X28" s="1"/>
      <c r="Y28" s="1"/>
      <c r="Z28" s="1"/>
      <c r="AA28" s="1"/>
      <c r="AB28" s="1" t="s">
        <v>3</v>
      </c>
      <c r="AC28" s="1" t="s">
        <v>3</v>
      </c>
      <c r="AD28" s="1" t="s">
        <v>3</v>
      </c>
      <c r="AE28" s="1" t="s">
        <v>3</v>
      </c>
      <c r="AF28" s="1" t="s">
        <v>3</v>
      </c>
      <c r="AG28" s="1" t="s">
        <v>3</v>
      </c>
      <c r="AH28" s="1"/>
      <c r="AI28" s="1"/>
      <c r="AJ28" s="1"/>
      <c r="AK28" s="1"/>
      <c r="AL28" s="1"/>
      <c r="AM28" s="1"/>
      <c r="AN28" s="1"/>
      <c r="AO28" s="1"/>
      <c r="AP28" s="1" t="s">
        <v>3</v>
      </c>
      <c r="AQ28" s="1" t="s">
        <v>3</v>
      </c>
      <c r="AR28" s="1" t="s">
        <v>3</v>
      </c>
      <c r="AS28" s="1"/>
      <c r="AT28" s="1"/>
      <c r="AU28" s="1"/>
      <c r="AV28" s="1"/>
      <c r="AW28" s="1"/>
      <c r="AX28" s="1"/>
      <c r="AY28" s="1"/>
      <c r="AZ28" s="1" t="s">
        <v>3</v>
      </c>
      <c r="BA28" s="1"/>
      <c r="BB28" s="1" t="s">
        <v>3</v>
      </c>
      <c r="BC28" s="1" t="s">
        <v>3</v>
      </c>
      <c r="BD28" s="1" t="s">
        <v>3</v>
      </c>
      <c r="BE28" s="1" t="s">
        <v>3</v>
      </c>
      <c r="BF28" s="1" t="s">
        <v>3</v>
      </c>
      <c r="BG28" s="1" t="s">
        <v>3</v>
      </c>
      <c r="BH28" s="1" t="s">
        <v>3</v>
      </c>
      <c r="BI28" s="1" t="s">
        <v>3</v>
      </c>
      <c r="BJ28" s="1" t="s">
        <v>3</v>
      </c>
      <c r="BK28" s="1" t="s">
        <v>3</v>
      </c>
      <c r="BL28" s="1" t="s">
        <v>3</v>
      </c>
      <c r="BM28" s="1" t="s">
        <v>3</v>
      </c>
      <c r="BN28" s="1" t="s">
        <v>3</v>
      </c>
      <c r="BO28" s="1" t="s">
        <v>3</v>
      </c>
      <c r="BP28" s="1" t="s">
        <v>3</v>
      </c>
      <c r="BQ28" s="1"/>
      <c r="BR28" s="1"/>
      <c r="BS28" s="1"/>
      <c r="BT28" s="1"/>
      <c r="BU28" s="1"/>
      <c r="BV28" s="1"/>
      <c r="BW28" s="1"/>
      <c r="BX28" s="1">
        <v>0</v>
      </c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>
        <v>0</v>
      </c>
    </row>
    <row r="30" spans="1:245" x14ac:dyDescent="0.2">
      <c r="A30" s="2">
        <v>52</v>
      </c>
      <c r="B30" s="2">
        <f t="shared" ref="B30:G30" si="21">B40</f>
        <v>1</v>
      </c>
      <c r="C30" s="2">
        <f t="shared" si="21"/>
        <v>5</v>
      </c>
      <c r="D30" s="2">
        <f t="shared" si="21"/>
        <v>28</v>
      </c>
      <c r="E30" s="2">
        <f t="shared" si="21"/>
        <v>0</v>
      </c>
      <c r="F30" s="2" t="str">
        <f t="shared" si="21"/>
        <v>Новый подраздел</v>
      </c>
      <c r="G30" s="2" t="str">
        <f t="shared" si="21"/>
        <v>Демонтажные работы</v>
      </c>
      <c r="H30" s="2"/>
      <c r="I30" s="2"/>
      <c r="J30" s="2"/>
      <c r="K30" s="2"/>
      <c r="L30" s="2"/>
      <c r="M30" s="2"/>
      <c r="N30" s="2"/>
      <c r="O30" s="2">
        <f t="shared" ref="O30:AT30" si="22">O40</f>
        <v>153385.37</v>
      </c>
      <c r="P30" s="2">
        <f t="shared" si="22"/>
        <v>0</v>
      </c>
      <c r="Q30" s="2">
        <f t="shared" si="22"/>
        <v>103037.41</v>
      </c>
      <c r="R30" s="2">
        <f t="shared" si="22"/>
        <v>58118.6</v>
      </c>
      <c r="S30" s="2">
        <f t="shared" si="22"/>
        <v>50347.96</v>
      </c>
      <c r="T30" s="2">
        <f t="shared" si="22"/>
        <v>0</v>
      </c>
      <c r="U30" s="2">
        <f t="shared" si="22"/>
        <v>245.78013999999999</v>
      </c>
      <c r="V30" s="2">
        <f t="shared" si="22"/>
        <v>0</v>
      </c>
      <c r="W30" s="2">
        <f t="shared" si="22"/>
        <v>0</v>
      </c>
      <c r="X30" s="2">
        <f t="shared" si="22"/>
        <v>35243.58</v>
      </c>
      <c r="Y30" s="2">
        <f t="shared" si="22"/>
        <v>5034.8</v>
      </c>
      <c r="Z30" s="2">
        <f t="shared" si="22"/>
        <v>0</v>
      </c>
      <c r="AA30" s="2">
        <f t="shared" si="22"/>
        <v>0</v>
      </c>
      <c r="AB30" s="2">
        <f t="shared" si="22"/>
        <v>153385.37</v>
      </c>
      <c r="AC30" s="2">
        <f t="shared" si="22"/>
        <v>0</v>
      </c>
      <c r="AD30" s="2">
        <f t="shared" si="22"/>
        <v>103037.41</v>
      </c>
      <c r="AE30" s="2">
        <f t="shared" si="22"/>
        <v>58118.6</v>
      </c>
      <c r="AF30" s="2">
        <f t="shared" si="22"/>
        <v>50347.96</v>
      </c>
      <c r="AG30" s="2">
        <f t="shared" si="22"/>
        <v>0</v>
      </c>
      <c r="AH30" s="2">
        <f t="shared" si="22"/>
        <v>245.78013999999999</v>
      </c>
      <c r="AI30" s="2">
        <f t="shared" si="22"/>
        <v>0</v>
      </c>
      <c r="AJ30" s="2">
        <f t="shared" si="22"/>
        <v>0</v>
      </c>
      <c r="AK30" s="2">
        <f t="shared" si="22"/>
        <v>35243.58</v>
      </c>
      <c r="AL30" s="2">
        <f t="shared" si="22"/>
        <v>5034.8</v>
      </c>
      <c r="AM30" s="2">
        <f t="shared" si="22"/>
        <v>0</v>
      </c>
      <c r="AN30" s="2">
        <f t="shared" si="22"/>
        <v>0</v>
      </c>
      <c r="AO30" s="2">
        <f t="shared" si="22"/>
        <v>0</v>
      </c>
      <c r="AP30" s="2">
        <f t="shared" si="22"/>
        <v>0</v>
      </c>
      <c r="AQ30" s="2">
        <f t="shared" si="22"/>
        <v>0</v>
      </c>
      <c r="AR30" s="2">
        <f t="shared" si="22"/>
        <v>256431.84</v>
      </c>
      <c r="AS30" s="2">
        <f t="shared" si="22"/>
        <v>0</v>
      </c>
      <c r="AT30" s="2">
        <f t="shared" si="22"/>
        <v>0</v>
      </c>
      <c r="AU30" s="2">
        <f t="shared" ref="AU30:BZ30" si="23">AU40</f>
        <v>256431.84</v>
      </c>
      <c r="AV30" s="2">
        <f t="shared" si="23"/>
        <v>0</v>
      </c>
      <c r="AW30" s="2">
        <f t="shared" si="23"/>
        <v>0</v>
      </c>
      <c r="AX30" s="2">
        <f t="shared" si="23"/>
        <v>0</v>
      </c>
      <c r="AY30" s="2">
        <f t="shared" si="23"/>
        <v>0</v>
      </c>
      <c r="AZ30" s="2">
        <f t="shared" si="23"/>
        <v>0</v>
      </c>
      <c r="BA30" s="2">
        <f t="shared" si="23"/>
        <v>0</v>
      </c>
      <c r="BB30" s="2">
        <f t="shared" si="23"/>
        <v>0</v>
      </c>
      <c r="BC30" s="2">
        <f t="shared" si="23"/>
        <v>0</v>
      </c>
      <c r="BD30" s="2">
        <f t="shared" si="23"/>
        <v>0</v>
      </c>
      <c r="BE30" s="2">
        <f t="shared" si="23"/>
        <v>0</v>
      </c>
      <c r="BF30" s="2">
        <f t="shared" si="23"/>
        <v>0</v>
      </c>
      <c r="BG30" s="2">
        <f t="shared" si="23"/>
        <v>0</v>
      </c>
      <c r="BH30" s="2">
        <f t="shared" si="23"/>
        <v>0</v>
      </c>
      <c r="BI30" s="2">
        <f t="shared" si="23"/>
        <v>0</v>
      </c>
      <c r="BJ30" s="2">
        <f t="shared" si="23"/>
        <v>0</v>
      </c>
      <c r="BK30" s="2">
        <f t="shared" si="23"/>
        <v>0</v>
      </c>
      <c r="BL30" s="2">
        <f t="shared" si="23"/>
        <v>0</v>
      </c>
      <c r="BM30" s="2">
        <f t="shared" si="23"/>
        <v>0</v>
      </c>
      <c r="BN30" s="2">
        <f t="shared" si="23"/>
        <v>0</v>
      </c>
      <c r="BO30" s="2">
        <f t="shared" si="23"/>
        <v>0</v>
      </c>
      <c r="BP30" s="2">
        <f t="shared" si="23"/>
        <v>0</v>
      </c>
      <c r="BQ30" s="2">
        <f t="shared" si="23"/>
        <v>0</v>
      </c>
      <c r="BR30" s="2">
        <f t="shared" si="23"/>
        <v>0</v>
      </c>
      <c r="BS30" s="2">
        <f t="shared" si="23"/>
        <v>0</v>
      </c>
      <c r="BT30" s="2">
        <f t="shared" si="23"/>
        <v>0</v>
      </c>
      <c r="BU30" s="2">
        <f t="shared" si="23"/>
        <v>0</v>
      </c>
      <c r="BV30" s="2">
        <f t="shared" si="23"/>
        <v>0</v>
      </c>
      <c r="BW30" s="2">
        <f t="shared" si="23"/>
        <v>0</v>
      </c>
      <c r="BX30" s="2">
        <f t="shared" si="23"/>
        <v>0</v>
      </c>
      <c r="BY30" s="2">
        <f t="shared" si="23"/>
        <v>0</v>
      </c>
      <c r="BZ30" s="2">
        <f t="shared" si="23"/>
        <v>0</v>
      </c>
      <c r="CA30" s="2">
        <f t="shared" ref="CA30:DF30" si="24">CA40</f>
        <v>256431.84</v>
      </c>
      <c r="CB30" s="2">
        <f t="shared" si="24"/>
        <v>0</v>
      </c>
      <c r="CC30" s="2">
        <f t="shared" si="24"/>
        <v>0</v>
      </c>
      <c r="CD30" s="2">
        <f t="shared" si="24"/>
        <v>256431.84</v>
      </c>
      <c r="CE30" s="2">
        <f t="shared" si="24"/>
        <v>0</v>
      </c>
      <c r="CF30" s="2">
        <f t="shared" si="24"/>
        <v>0</v>
      </c>
      <c r="CG30" s="2">
        <f t="shared" si="24"/>
        <v>0</v>
      </c>
      <c r="CH30" s="2">
        <f t="shared" si="24"/>
        <v>0</v>
      </c>
      <c r="CI30" s="2">
        <f t="shared" si="24"/>
        <v>0</v>
      </c>
      <c r="CJ30" s="2">
        <f t="shared" si="24"/>
        <v>0</v>
      </c>
      <c r="CK30" s="2">
        <f t="shared" si="24"/>
        <v>0</v>
      </c>
      <c r="CL30" s="2">
        <f t="shared" si="24"/>
        <v>0</v>
      </c>
      <c r="CM30" s="2">
        <f t="shared" si="24"/>
        <v>0</v>
      </c>
      <c r="CN30" s="2">
        <f t="shared" si="24"/>
        <v>0</v>
      </c>
      <c r="CO30" s="2">
        <f t="shared" si="24"/>
        <v>0</v>
      </c>
      <c r="CP30" s="2">
        <f t="shared" si="24"/>
        <v>0</v>
      </c>
      <c r="CQ30" s="2">
        <f t="shared" si="24"/>
        <v>0</v>
      </c>
      <c r="CR30" s="2">
        <f t="shared" si="24"/>
        <v>0</v>
      </c>
      <c r="CS30" s="2">
        <f t="shared" si="24"/>
        <v>0</v>
      </c>
      <c r="CT30" s="2">
        <f t="shared" si="24"/>
        <v>0</v>
      </c>
      <c r="CU30" s="2">
        <f t="shared" si="24"/>
        <v>0</v>
      </c>
      <c r="CV30" s="2">
        <f t="shared" si="24"/>
        <v>0</v>
      </c>
      <c r="CW30" s="2">
        <f t="shared" si="24"/>
        <v>0</v>
      </c>
      <c r="CX30" s="2">
        <f t="shared" si="24"/>
        <v>0</v>
      </c>
      <c r="CY30" s="2">
        <f t="shared" si="24"/>
        <v>0</v>
      </c>
      <c r="CZ30" s="2">
        <f t="shared" si="24"/>
        <v>0</v>
      </c>
      <c r="DA30" s="2">
        <f t="shared" si="24"/>
        <v>0</v>
      </c>
      <c r="DB30" s="2">
        <f t="shared" si="24"/>
        <v>0</v>
      </c>
      <c r="DC30" s="2">
        <f t="shared" si="24"/>
        <v>0</v>
      </c>
      <c r="DD30" s="2">
        <f t="shared" si="24"/>
        <v>0</v>
      </c>
      <c r="DE30" s="2">
        <f t="shared" si="24"/>
        <v>0</v>
      </c>
      <c r="DF30" s="2">
        <f t="shared" si="24"/>
        <v>0</v>
      </c>
      <c r="DG30" s="3">
        <f t="shared" ref="DG30:EL30" si="25">DG40</f>
        <v>0</v>
      </c>
      <c r="DH30" s="3">
        <f t="shared" si="25"/>
        <v>0</v>
      </c>
      <c r="DI30" s="3">
        <f t="shared" si="25"/>
        <v>0</v>
      </c>
      <c r="DJ30" s="3">
        <f t="shared" si="25"/>
        <v>0</v>
      </c>
      <c r="DK30" s="3">
        <f t="shared" si="25"/>
        <v>0</v>
      </c>
      <c r="DL30" s="3">
        <f t="shared" si="25"/>
        <v>0</v>
      </c>
      <c r="DM30" s="3">
        <f t="shared" si="25"/>
        <v>0</v>
      </c>
      <c r="DN30" s="3">
        <f t="shared" si="25"/>
        <v>0</v>
      </c>
      <c r="DO30" s="3">
        <f t="shared" si="25"/>
        <v>0</v>
      </c>
      <c r="DP30" s="3">
        <f t="shared" si="25"/>
        <v>0</v>
      </c>
      <c r="DQ30" s="3">
        <f t="shared" si="25"/>
        <v>0</v>
      </c>
      <c r="DR30" s="3">
        <f t="shared" si="25"/>
        <v>0</v>
      </c>
      <c r="DS30" s="3">
        <f t="shared" si="25"/>
        <v>0</v>
      </c>
      <c r="DT30" s="3">
        <f t="shared" si="25"/>
        <v>0</v>
      </c>
      <c r="DU30" s="3">
        <f t="shared" si="25"/>
        <v>0</v>
      </c>
      <c r="DV30" s="3">
        <f t="shared" si="25"/>
        <v>0</v>
      </c>
      <c r="DW30" s="3">
        <f t="shared" si="25"/>
        <v>0</v>
      </c>
      <c r="DX30" s="3">
        <f t="shared" si="25"/>
        <v>0</v>
      </c>
      <c r="DY30" s="3">
        <f t="shared" si="25"/>
        <v>0</v>
      </c>
      <c r="DZ30" s="3">
        <f t="shared" si="25"/>
        <v>0</v>
      </c>
      <c r="EA30" s="3">
        <f t="shared" si="25"/>
        <v>0</v>
      </c>
      <c r="EB30" s="3">
        <f t="shared" si="25"/>
        <v>0</v>
      </c>
      <c r="EC30" s="3">
        <f t="shared" si="25"/>
        <v>0</v>
      </c>
      <c r="ED30" s="3">
        <f t="shared" si="25"/>
        <v>0</v>
      </c>
      <c r="EE30" s="3">
        <f t="shared" si="25"/>
        <v>0</v>
      </c>
      <c r="EF30" s="3">
        <f t="shared" si="25"/>
        <v>0</v>
      </c>
      <c r="EG30" s="3">
        <f t="shared" si="25"/>
        <v>0</v>
      </c>
      <c r="EH30" s="3">
        <f t="shared" si="25"/>
        <v>0</v>
      </c>
      <c r="EI30" s="3">
        <f t="shared" si="25"/>
        <v>0</v>
      </c>
      <c r="EJ30" s="3">
        <f t="shared" si="25"/>
        <v>0</v>
      </c>
      <c r="EK30" s="3">
        <f t="shared" si="25"/>
        <v>0</v>
      </c>
      <c r="EL30" s="3">
        <f t="shared" si="25"/>
        <v>0</v>
      </c>
      <c r="EM30" s="3">
        <f t="shared" ref="EM30:FR30" si="26">EM40</f>
        <v>0</v>
      </c>
      <c r="EN30" s="3">
        <f t="shared" si="26"/>
        <v>0</v>
      </c>
      <c r="EO30" s="3">
        <f t="shared" si="26"/>
        <v>0</v>
      </c>
      <c r="EP30" s="3">
        <f t="shared" si="26"/>
        <v>0</v>
      </c>
      <c r="EQ30" s="3">
        <f t="shared" si="26"/>
        <v>0</v>
      </c>
      <c r="ER30" s="3">
        <f t="shared" si="26"/>
        <v>0</v>
      </c>
      <c r="ES30" s="3">
        <f t="shared" si="26"/>
        <v>0</v>
      </c>
      <c r="ET30" s="3">
        <f t="shared" si="26"/>
        <v>0</v>
      </c>
      <c r="EU30" s="3">
        <f t="shared" si="26"/>
        <v>0</v>
      </c>
      <c r="EV30" s="3">
        <f t="shared" si="26"/>
        <v>0</v>
      </c>
      <c r="EW30" s="3">
        <f t="shared" si="26"/>
        <v>0</v>
      </c>
      <c r="EX30" s="3">
        <f t="shared" si="26"/>
        <v>0</v>
      </c>
      <c r="EY30" s="3">
        <f t="shared" si="26"/>
        <v>0</v>
      </c>
      <c r="EZ30" s="3">
        <f t="shared" si="26"/>
        <v>0</v>
      </c>
      <c r="FA30" s="3">
        <f t="shared" si="26"/>
        <v>0</v>
      </c>
      <c r="FB30" s="3">
        <f t="shared" si="26"/>
        <v>0</v>
      </c>
      <c r="FC30" s="3">
        <f t="shared" si="26"/>
        <v>0</v>
      </c>
      <c r="FD30" s="3">
        <f t="shared" si="26"/>
        <v>0</v>
      </c>
      <c r="FE30" s="3">
        <f t="shared" si="26"/>
        <v>0</v>
      </c>
      <c r="FF30" s="3">
        <f t="shared" si="26"/>
        <v>0</v>
      </c>
      <c r="FG30" s="3">
        <f t="shared" si="26"/>
        <v>0</v>
      </c>
      <c r="FH30" s="3">
        <f t="shared" si="26"/>
        <v>0</v>
      </c>
      <c r="FI30" s="3">
        <f t="shared" si="26"/>
        <v>0</v>
      </c>
      <c r="FJ30" s="3">
        <f t="shared" si="26"/>
        <v>0</v>
      </c>
      <c r="FK30" s="3">
        <f t="shared" si="26"/>
        <v>0</v>
      </c>
      <c r="FL30" s="3">
        <f t="shared" si="26"/>
        <v>0</v>
      </c>
      <c r="FM30" s="3">
        <f t="shared" si="26"/>
        <v>0</v>
      </c>
      <c r="FN30" s="3">
        <f t="shared" si="26"/>
        <v>0</v>
      </c>
      <c r="FO30" s="3">
        <f t="shared" si="26"/>
        <v>0</v>
      </c>
      <c r="FP30" s="3">
        <f t="shared" si="26"/>
        <v>0</v>
      </c>
      <c r="FQ30" s="3">
        <f t="shared" si="26"/>
        <v>0</v>
      </c>
      <c r="FR30" s="3">
        <f t="shared" si="26"/>
        <v>0</v>
      </c>
      <c r="FS30" s="3">
        <f t="shared" ref="FS30:GX30" si="27">FS40</f>
        <v>0</v>
      </c>
      <c r="FT30" s="3">
        <f t="shared" si="27"/>
        <v>0</v>
      </c>
      <c r="FU30" s="3">
        <f t="shared" si="27"/>
        <v>0</v>
      </c>
      <c r="FV30" s="3">
        <f t="shared" si="27"/>
        <v>0</v>
      </c>
      <c r="FW30" s="3">
        <f t="shared" si="27"/>
        <v>0</v>
      </c>
      <c r="FX30" s="3">
        <f t="shared" si="27"/>
        <v>0</v>
      </c>
      <c r="FY30" s="3">
        <f t="shared" si="27"/>
        <v>0</v>
      </c>
      <c r="FZ30" s="3">
        <f t="shared" si="27"/>
        <v>0</v>
      </c>
      <c r="GA30" s="3">
        <f t="shared" si="27"/>
        <v>0</v>
      </c>
      <c r="GB30" s="3">
        <f t="shared" si="27"/>
        <v>0</v>
      </c>
      <c r="GC30" s="3">
        <f t="shared" si="27"/>
        <v>0</v>
      </c>
      <c r="GD30" s="3">
        <f t="shared" si="27"/>
        <v>0</v>
      </c>
      <c r="GE30" s="3">
        <f t="shared" si="27"/>
        <v>0</v>
      </c>
      <c r="GF30" s="3">
        <f t="shared" si="27"/>
        <v>0</v>
      </c>
      <c r="GG30" s="3">
        <f t="shared" si="27"/>
        <v>0</v>
      </c>
      <c r="GH30" s="3">
        <f t="shared" si="27"/>
        <v>0</v>
      </c>
      <c r="GI30" s="3">
        <f t="shared" si="27"/>
        <v>0</v>
      </c>
      <c r="GJ30" s="3">
        <f t="shared" si="27"/>
        <v>0</v>
      </c>
      <c r="GK30" s="3">
        <f t="shared" si="27"/>
        <v>0</v>
      </c>
      <c r="GL30" s="3">
        <f t="shared" si="27"/>
        <v>0</v>
      </c>
      <c r="GM30" s="3">
        <f t="shared" si="27"/>
        <v>0</v>
      </c>
      <c r="GN30" s="3">
        <f t="shared" si="27"/>
        <v>0</v>
      </c>
      <c r="GO30" s="3">
        <f t="shared" si="27"/>
        <v>0</v>
      </c>
      <c r="GP30" s="3">
        <f t="shared" si="27"/>
        <v>0</v>
      </c>
      <c r="GQ30" s="3">
        <f t="shared" si="27"/>
        <v>0</v>
      </c>
      <c r="GR30" s="3">
        <f t="shared" si="27"/>
        <v>0</v>
      </c>
      <c r="GS30" s="3">
        <f t="shared" si="27"/>
        <v>0</v>
      </c>
      <c r="GT30" s="3">
        <f t="shared" si="27"/>
        <v>0</v>
      </c>
      <c r="GU30" s="3">
        <f t="shared" si="27"/>
        <v>0</v>
      </c>
      <c r="GV30" s="3">
        <f t="shared" si="27"/>
        <v>0</v>
      </c>
      <c r="GW30" s="3">
        <f t="shared" si="27"/>
        <v>0</v>
      </c>
      <c r="GX30" s="3">
        <f t="shared" si="27"/>
        <v>0</v>
      </c>
    </row>
    <row r="32" spans="1:245" x14ac:dyDescent="0.2">
      <c r="A32">
        <v>17</v>
      </c>
      <c r="B32">
        <v>1</v>
      </c>
      <c r="C32">
        <f>ROW(SmtRes!A8)</f>
        <v>8</v>
      </c>
      <c r="D32">
        <f>ROW(EtalonRes!A8)</f>
        <v>8</v>
      </c>
      <c r="E32" t="s">
        <v>16</v>
      </c>
      <c r="F32" t="s">
        <v>17</v>
      </c>
      <c r="G32" t="s">
        <v>18</v>
      </c>
      <c r="H32" t="s">
        <v>19</v>
      </c>
      <c r="I32">
        <f>ROUND(120/100,9)</f>
        <v>1.2</v>
      </c>
      <c r="J32">
        <v>0</v>
      </c>
      <c r="O32">
        <f>ROUND(CP32,2)</f>
        <v>2259.38</v>
      </c>
      <c r="P32">
        <f>ROUND(CQ32*I32,2)</f>
        <v>0</v>
      </c>
      <c r="Q32">
        <f>ROUND(CR32*I32,2)</f>
        <v>7.64</v>
      </c>
      <c r="R32">
        <f>ROUND(CS32*I32,2)</f>
        <v>0.82</v>
      </c>
      <c r="S32">
        <f>ROUND(CT32*I32,2)</f>
        <v>2251.7399999999998</v>
      </c>
      <c r="T32">
        <f>ROUND(CU32*I32,2)</f>
        <v>0</v>
      </c>
      <c r="U32">
        <f>CV32*I32</f>
        <v>8.7504000000000008</v>
      </c>
      <c r="V32">
        <f>CW32*I32</f>
        <v>0</v>
      </c>
      <c r="W32">
        <f>ROUND(CX32*I32,2)</f>
        <v>0</v>
      </c>
      <c r="X32">
        <f t="shared" ref="X32:Y34" si="28">ROUND(CY32,2)</f>
        <v>1576.22</v>
      </c>
      <c r="Y32">
        <f t="shared" si="28"/>
        <v>225.17</v>
      </c>
      <c r="AA32">
        <v>38799519</v>
      </c>
      <c r="AB32">
        <f>ROUND((AC32+AD32+AF32),6)</f>
        <v>1882.816</v>
      </c>
      <c r="AC32">
        <f>ROUND(((ES32*0)),6)</f>
        <v>0</v>
      </c>
      <c r="AD32">
        <f>ROUND(((((ET32*0.2))-((EU32*0.2)))+AE32),6)</f>
        <v>6.3659999999999997</v>
      </c>
      <c r="AE32">
        <f>ROUND(((EU32*0.2)),6)</f>
        <v>0.68400000000000005</v>
      </c>
      <c r="AF32">
        <f>ROUND(((EV32*0.2)),6)</f>
        <v>1876.45</v>
      </c>
      <c r="AG32">
        <f>ROUND((AP32),6)</f>
        <v>0</v>
      </c>
      <c r="AH32">
        <f>((EW32*0.2))</f>
        <v>7.2920000000000007</v>
      </c>
      <c r="AI32">
        <f>((EX32*0.2))</f>
        <v>0</v>
      </c>
      <c r="AJ32">
        <f>(AS32)</f>
        <v>0</v>
      </c>
      <c r="AK32">
        <v>50337.93</v>
      </c>
      <c r="AL32">
        <v>40923.85</v>
      </c>
      <c r="AM32">
        <v>31.83</v>
      </c>
      <c r="AN32">
        <v>3.42</v>
      </c>
      <c r="AO32">
        <v>9382.25</v>
      </c>
      <c r="AP32">
        <v>0</v>
      </c>
      <c r="AQ32">
        <v>36.46</v>
      </c>
      <c r="AR32">
        <v>0</v>
      </c>
      <c r="AS32">
        <v>0</v>
      </c>
      <c r="AT32">
        <v>70</v>
      </c>
      <c r="AU32">
        <v>10</v>
      </c>
      <c r="AV32">
        <v>1</v>
      </c>
      <c r="AW32">
        <v>1</v>
      </c>
      <c r="AZ32">
        <v>1</v>
      </c>
      <c r="BA32">
        <v>1</v>
      </c>
      <c r="BB32">
        <v>1</v>
      </c>
      <c r="BC32">
        <v>1</v>
      </c>
      <c r="BD32" t="s">
        <v>3</v>
      </c>
      <c r="BE32" t="s">
        <v>3</v>
      </c>
      <c r="BF32" t="s">
        <v>3</v>
      </c>
      <c r="BG32" t="s">
        <v>3</v>
      </c>
      <c r="BH32">
        <v>0</v>
      </c>
      <c r="BI32">
        <v>4</v>
      </c>
      <c r="BJ32" t="s">
        <v>20</v>
      </c>
      <c r="BM32">
        <v>0</v>
      </c>
      <c r="BN32">
        <v>0</v>
      </c>
      <c r="BO32" t="s">
        <v>3</v>
      </c>
      <c r="BP32">
        <v>0</v>
      </c>
      <c r="BQ32">
        <v>1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 t="s">
        <v>3</v>
      </c>
      <c r="BZ32">
        <v>70</v>
      </c>
      <c r="CA32">
        <v>10</v>
      </c>
      <c r="CE32">
        <v>0</v>
      </c>
      <c r="CF32">
        <v>0</v>
      </c>
      <c r="CG32">
        <v>0</v>
      </c>
      <c r="CM32">
        <v>0</v>
      </c>
      <c r="CN32" t="s">
        <v>657</v>
      </c>
      <c r="CO32">
        <v>0</v>
      </c>
      <c r="CP32">
        <f>(P32+Q32+S32)</f>
        <v>2259.3799999999997</v>
      </c>
      <c r="CQ32">
        <f>(AC32*BC32*AW32)</f>
        <v>0</v>
      </c>
      <c r="CR32">
        <f>(((((ET32*0.2))*BB32-((EU32*0.2))*BS32)+AE32*BS32)*AV32)</f>
        <v>6.3659999999999997</v>
      </c>
      <c r="CS32">
        <f>(AE32*BS32*AV32)</f>
        <v>0.68400000000000005</v>
      </c>
      <c r="CT32">
        <f>(AF32*BA32*AV32)</f>
        <v>1876.45</v>
      </c>
      <c r="CU32">
        <f>AG32</f>
        <v>0</v>
      </c>
      <c r="CV32">
        <f>(AH32*AV32)</f>
        <v>7.2920000000000007</v>
      </c>
      <c r="CW32">
        <f t="shared" ref="CW32:CX34" si="29">AI32</f>
        <v>0</v>
      </c>
      <c r="CX32">
        <f t="shared" si="29"/>
        <v>0</v>
      </c>
      <c r="CY32">
        <f>((S32*BZ32)/100)</f>
        <v>1576.2179999999998</v>
      </c>
      <c r="CZ32">
        <f>((S32*CA32)/100)</f>
        <v>225.17399999999998</v>
      </c>
      <c r="DC32" t="s">
        <v>3</v>
      </c>
      <c r="DD32" t="s">
        <v>21</v>
      </c>
      <c r="DE32" t="s">
        <v>22</v>
      </c>
      <c r="DF32" t="s">
        <v>22</v>
      </c>
      <c r="DG32" t="s">
        <v>22</v>
      </c>
      <c r="DH32" t="s">
        <v>3</v>
      </c>
      <c r="DI32" t="s">
        <v>22</v>
      </c>
      <c r="DJ32" t="s">
        <v>22</v>
      </c>
      <c r="DK32" t="s">
        <v>3</v>
      </c>
      <c r="DL32" t="s">
        <v>3</v>
      </c>
      <c r="DM32" t="s">
        <v>3</v>
      </c>
      <c r="DN32">
        <v>0</v>
      </c>
      <c r="DO32">
        <v>0</v>
      </c>
      <c r="DP32">
        <v>1</v>
      </c>
      <c r="DQ32">
        <v>1</v>
      </c>
      <c r="DU32">
        <v>1005</v>
      </c>
      <c r="DV32" t="s">
        <v>19</v>
      </c>
      <c r="DW32" t="s">
        <v>19</v>
      </c>
      <c r="DX32">
        <v>100</v>
      </c>
      <c r="EE32">
        <v>38447819</v>
      </c>
      <c r="EF32">
        <v>1</v>
      </c>
      <c r="EG32" t="s">
        <v>23</v>
      </c>
      <c r="EH32">
        <v>0</v>
      </c>
      <c r="EI32" t="s">
        <v>3</v>
      </c>
      <c r="EJ32">
        <v>4</v>
      </c>
      <c r="EK32">
        <v>0</v>
      </c>
      <c r="EL32" t="s">
        <v>24</v>
      </c>
      <c r="EM32" t="s">
        <v>25</v>
      </c>
      <c r="EO32" t="s">
        <v>26</v>
      </c>
      <c r="EQ32">
        <v>0</v>
      </c>
      <c r="ER32">
        <v>50337.93</v>
      </c>
      <c r="ES32">
        <v>40923.85</v>
      </c>
      <c r="ET32">
        <v>31.83</v>
      </c>
      <c r="EU32">
        <v>3.42</v>
      </c>
      <c r="EV32">
        <v>9382.25</v>
      </c>
      <c r="EW32">
        <v>36.46</v>
      </c>
      <c r="EX32">
        <v>0</v>
      </c>
      <c r="EY32">
        <v>0</v>
      </c>
      <c r="FQ32">
        <v>0</v>
      </c>
      <c r="FR32">
        <f>ROUND(IF(AND(BH32=3,BI32=3),P32,0),2)</f>
        <v>0</v>
      </c>
      <c r="FS32">
        <v>0</v>
      </c>
      <c r="FX32">
        <v>70</v>
      </c>
      <c r="FY32">
        <v>10</v>
      </c>
      <c r="GA32" t="s">
        <v>3</v>
      </c>
      <c r="GD32">
        <v>0</v>
      </c>
      <c r="GF32">
        <v>-1650701133</v>
      </c>
      <c r="GG32">
        <v>2</v>
      </c>
      <c r="GH32">
        <v>1</v>
      </c>
      <c r="GI32">
        <v>-2</v>
      </c>
      <c r="GJ32">
        <v>0</v>
      </c>
      <c r="GK32">
        <f>ROUND(R32*(R12)/100,2)</f>
        <v>0.89</v>
      </c>
      <c r="GL32">
        <f>ROUND(IF(AND(BH32=3,BI32=3,FS32&lt;&gt;0),P32,0),2)</f>
        <v>0</v>
      </c>
      <c r="GM32">
        <f>ROUND(O32+X32+Y32+GK32,2)+GX32</f>
        <v>4061.66</v>
      </c>
      <c r="GN32">
        <f>IF(OR(BI32=0,BI32=1),ROUND(O32+X32+Y32+GK32,2),0)</f>
        <v>0</v>
      </c>
      <c r="GO32">
        <f>IF(BI32=2,ROUND(O32+X32+Y32+GK32,2),0)</f>
        <v>0</v>
      </c>
      <c r="GP32">
        <f>IF(BI32=4,ROUND(O32+X32+Y32+GK32,2)+GX32,0)</f>
        <v>4061.66</v>
      </c>
      <c r="GR32">
        <v>0</v>
      </c>
      <c r="GS32">
        <v>3</v>
      </c>
      <c r="GT32">
        <v>0</v>
      </c>
      <c r="GU32" t="s">
        <v>3</v>
      </c>
      <c r="GV32">
        <f>ROUND((GT32),6)</f>
        <v>0</v>
      </c>
      <c r="GW32">
        <v>1</v>
      </c>
      <c r="GX32">
        <f>ROUND(HC32*I32,2)</f>
        <v>0</v>
      </c>
      <c r="HA32">
        <v>0</v>
      </c>
      <c r="HB32">
        <v>0</v>
      </c>
      <c r="HC32">
        <f>GV32*GW32</f>
        <v>0</v>
      </c>
      <c r="HE32" t="s">
        <v>3</v>
      </c>
      <c r="HF32" t="s">
        <v>3</v>
      </c>
      <c r="IK32">
        <v>0</v>
      </c>
    </row>
    <row r="33" spans="1:245" x14ac:dyDescent="0.2">
      <c r="A33">
        <v>17</v>
      </c>
      <c r="B33">
        <v>1</v>
      </c>
      <c r="C33">
        <f>ROW(SmtRes!A9)</f>
        <v>9</v>
      </c>
      <c r="D33">
        <f>ROW(EtalonRes!A9)</f>
        <v>9</v>
      </c>
      <c r="E33" t="s">
        <v>27</v>
      </c>
      <c r="F33" t="s">
        <v>28</v>
      </c>
      <c r="G33" t="s">
        <v>29</v>
      </c>
      <c r="H33" t="s">
        <v>30</v>
      </c>
      <c r="I33">
        <f>ROUND(120/10,9)</f>
        <v>12</v>
      </c>
      <c r="J33">
        <v>0</v>
      </c>
      <c r="O33">
        <f>ROUND(CP33,2)</f>
        <v>6016.56</v>
      </c>
      <c r="P33">
        <f>ROUND(CQ33*I33,2)</f>
        <v>0</v>
      </c>
      <c r="Q33">
        <f>ROUND(CR33*I33,2)</f>
        <v>0</v>
      </c>
      <c r="R33">
        <f>ROUND(CS33*I33,2)</f>
        <v>0</v>
      </c>
      <c r="S33">
        <f>ROUND(CT33*I33,2)</f>
        <v>6016.56</v>
      </c>
      <c r="T33">
        <f>ROUND(CU33*I33,2)</f>
        <v>0</v>
      </c>
      <c r="U33">
        <f>CV33*I33</f>
        <v>25.799999999999997</v>
      </c>
      <c r="V33">
        <f>CW33*I33</f>
        <v>0</v>
      </c>
      <c r="W33">
        <f>ROUND(CX33*I33,2)</f>
        <v>0</v>
      </c>
      <c r="X33">
        <f t="shared" si="28"/>
        <v>4211.59</v>
      </c>
      <c r="Y33">
        <f t="shared" si="28"/>
        <v>601.66</v>
      </c>
      <c r="AA33">
        <v>38799519</v>
      </c>
      <c r="AB33">
        <f>ROUND((AC33+AD33+AF33),6)</f>
        <v>501.38</v>
      </c>
      <c r="AC33">
        <f>ROUND((ES33),6)</f>
        <v>0</v>
      </c>
      <c r="AD33">
        <f>ROUND((((ET33)-(EU33))+AE33),6)</f>
        <v>0</v>
      </c>
      <c r="AE33">
        <f>ROUND((EU33),6)</f>
        <v>0</v>
      </c>
      <c r="AF33">
        <f>ROUND((EV33),6)</f>
        <v>501.38</v>
      </c>
      <c r="AG33">
        <f>ROUND((AP33),6)</f>
        <v>0</v>
      </c>
      <c r="AH33">
        <f>(EW33)</f>
        <v>2.15</v>
      </c>
      <c r="AI33">
        <f>(EX33)</f>
        <v>0</v>
      </c>
      <c r="AJ33">
        <f>(AS33)</f>
        <v>0</v>
      </c>
      <c r="AK33">
        <v>501.38</v>
      </c>
      <c r="AL33">
        <v>0</v>
      </c>
      <c r="AM33">
        <v>0</v>
      </c>
      <c r="AN33">
        <v>0</v>
      </c>
      <c r="AO33">
        <v>501.38</v>
      </c>
      <c r="AP33">
        <v>0</v>
      </c>
      <c r="AQ33">
        <v>2.15</v>
      </c>
      <c r="AR33">
        <v>0</v>
      </c>
      <c r="AS33">
        <v>0</v>
      </c>
      <c r="AT33">
        <v>70</v>
      </c>
      <c r="AU33">
        <v>10</v>
      </c>
      <c r="AV33">
        <v>1</v>
      </c>
      <c r="AW33">
        <v>1</v>
      </c>
      <c r="AZ33">
        <v>1</v>
      </c>
      <c r="BA33">
        <v>1</v>
      </c>
      <c r="BB33">
        <v>1</v>
      </c>
      <c r="BC33">
        <v>1</v>
      </c>
      <c r="BD33" t="s">
        <v>3</v>
      </c>
      <c r="BE33" t="s">
        <v>3</v>
      </c>
      <c r="BF33" t="s">
        <v>3</v>
      </c>
      <c r="BG33" t="s">
        <v>3</v>
      </c>
      <c r="BH33">
        <v>0</v>
      </c>
      <c r="BI33">
        <v>4</v>
      </c>
      <c r="BJ33" t="s">
        <v>31</v>
      </c>
      <c r="BM33">
        <v>0</v>
      </c>
      <c r="BN33">
        <v>0</v>
      </c>
      <c r="BO33" t="s">
        <v>3</v>
      </c>
      <c r="BP33">
        <v>0</v>
      </c>
      <c r="BQ33">
        <v>1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 t="s">
        <v>3</v>
      </c>
      <c r="BZ33">
        <v>70</v>
      </c>
      <c r="CA33">
        <v>10</v>
      </c>
      <c r="CE33">
        <v>0</v>
      </c>
      <c r="CF33">
        <v>0</v>
      </c>
      <c r="CG33">
        <v>0</v>
      </c>
      <c r="CM33">
        <v>0</v>
      </c>
      <c r="CN33" t="s">
        <v>3</v>
      </c>
      <c r="CO33">
        <v>0</v>
      </c>
      <c r="CP33">
        <f>(P33+Q33+S33)</f>
        <v>6016.56</v>
      </c>
      <c r="CQ33">
        <f>(AC33*BC33*AW33)</f>
        <v>0</v>
      </c>
      <c r="CR33">
        <f>((((ET33)*BB33-(EU33)*BS33)+AE33*BS33)*AV33)</f>
        <v>0</v>
      </c>
      <c r="CS33">
        <f>(AE33*BS33*AV33)</f>
        <v>0</v>
      </c>
      <c r="CT33">
        <f>(AF33*BA33*AV33)</f>
        <v>501.38</v>
      </c>
      <c r="CU33">
        <f>AG33</f>
        <v>0</v>
      </c>
      <c r="CV33">
        <f>(AH33*AV33)</f>
        <v>2.15</v>
      </c>
      <c r="CW33">
        <f t="shared" si="29"/>
        <v>0</v>
      </c>
      <c r="CX33">
        <f t="shared" si="29"/>
        <v>0</v>
      </c>
      <c r="CY33">
        <f>((S33*BZ33)/100)</f>
        <v>4211.5920000000006</v>
      </c>
      <c r="CZ33">
        <f>((S33*CA33)/100)</f>
        <v>601.65600000000006</v>
      </c>
      <c r="DC33" t="s">
        <v>3</v>
      </c>
      <c r="DD33" t="s">
        <v>3</v>
      </c>
      <c r="DE33" t="s">
        <v>3</v>
      </c>
      <c r="DF33" t="s">
        <v>3</v>
      </c>
      <c r="DG33" t="s">
        <v>3</v>
      </c>
      <c r="DH33" t="s">
        <v>3</v>
      </c>
      <c r="DI33" t="s">
        <v>3</v>
      </c>
      <c r="DJ33" t="s">
        <v>3</v>
      </c>
      <c r="DK33" t="s">
        <v>3</v>
      </c>
      <c r="DL33" t="s">
        <v>3</v>
      </c>
      <c r="DM33" t="s">
        <v>3</v>
      </c>
      <c r="DN33">
        <v>0</v>
      </c>
      <c r="DO33">
        <v>0</v>
      </c>
      <c r="DP33">
        <v>1</v>
      </c>
      <c r="DQ33">
        <v>1</v>
      </c>
      <c r="DU33">
        <v>1005</v>
      </c>
      <c r="DV33" t="s">
        <v>30</v>
      </c>
      <c r="DW33" t="s">
        <v>30</v>
      </c>
      <c r="DX33">
        <v>10</v>
      </c>
      <c r="EE33">
        <v>38447819</v>
      </c>
      <c r="EF33">
        <v>1</v>
      </c>
      <c r="EG33" t="s">
        <v>23</v>
      </c>
      <c r="EH33">
        <v>0</v>
      </c>
      <c r="EI33" t="s">
        <v>3</v>
      </c>
      <c r="EJ33">
        <v>4</v>
      </c>
      <c r="EK33">
        <v>0</v>
      </c>
      <c r="EL33" t="s">
        <v>24</v>
      </c>
      <c r="EM33" t="s">
        <v>25</v>
      </c>
      <c r="EO33" t="s">
        <v>3</v>
      </c>
      <c r="EQ33">
        <v>0</v>
      </c>
      <c r="ER33">
        <v>501.38</v>
      </c>
      <c r="ES33">
        <v>0</v>
      </c>
      <c r="ET33">
        <v>0</v>
      </c>
      <c r="EU33">
        <v>0</v>
      </c>
      <c r="EV33">
        <v>501.38</v>
      </c>
      <c r="EW33">
        <v>2.15</v>
      </c>
      <c r="EX33">
        <v>0</v>
      </c>
      <c r="EY33">
        <v>0</v>
      </c>
      <c r="FQ33">
        <v>0</v>
      </c>
      <c r="FR33">
        <f>ROUND(IF(AND(BH33=3,BI33=3),P33,0),2)</f>
        <v>0</v>
      </c>
      <c r="FS33">
        <v>0</v>
      </c>
      <c r="FX33">
        <v>70</v>
      </c>
      <c r="FY33">
        <v>10</v>
      </c>
      <c r="GA33" t="s">
        <v>3</v>
      </c>
      <c r="GD33">
        <v>0</v>
      </c>
      <c r="GF33">
        <v>-282178181</v>
      </c>
      <c r="GG33">
        <v>2</v>
      </c>
      <c r="GH33">
        <v>1</v>
      </c>
      <c r="GI33">
        <v>-2</v>
      </c>
      <c r="GJ33">
        <v>0</v>
      </c>
      <c r="GK33">
        <f>ROUND(R33*(R12)/100,2)</f>
        <v>0</v>
      </c>
      <c r="GL33">
        <f>ROUND(IF(AND(BH33=3,BI33=3,FS33&lt;&gt;0),P33,0),2)</f>
        <v>0</v>
      </c>
      <c r="GM33">
        <f>ROUND(O33+X33+Y33+GK33,2)+GX33</f>
        <v>10829.81</v>
      </c>
      <c r="GN33">
        <f>IF(OR(BI33=0,BI33=1),ROUND(O33+X33+Y33+GK33,2),0)</f>
        <v>0</v>
      </c>
      <c r="GO33">
        <f>IF(BI33=2,ROUND(O33+X33+Y33+GK33,2),0)</f>
        <v>0</v>
      </c>
      <c r="GP33">
        <f>IF(BI33=4,ROUND(O33+X33+Y33+GK33,2)+GX33,0)</f>
        <v>10829.81</v>
      </c>
      <c r="GR33">
        <v>0</v>
      </c>
      <c r="GS33">
        <v>3</v>
      </c>
      <c r="GT33">
        <v>0</v>
      </c>
      <c r="GU33" t="s">
        <v>3</v>
      </c>
      <c r="GV33">
        <f>ROUND((GT33),6)</f>
        <v>0</v>
      </c>
      <c r="GW33">
        <v>1</v>
      </c>
      <c r="GX33">
        <f>ROUND(HC33*I33,2)</f>
        <v>0</v>
      </c>
      <c r="HA33">
        <v>0</v>
      </c>
      <c r="HB33">
        <v>0</v>
      </c>
      <c r="HC33">
        <f>GV33*GW33</f>
        <v>0</v>
      </c>
      <c r="HE33" t="s">
        <v>3</v>
      </c>
      <c r="HF33" t="s">
        <v>3</v>
      </c>
      <c r="IK33">
        <v>0</v>
      </c>
    </row>
    <row r="34" spans="1:245" x14ac:dyDescent="0.2">
      <c r="A34">
        <v>17</v>
      </c>
      <c r="B34">
        <v>1</v>
      </c>
      <c r="C34">
        <f>ROW(SmtRes!A13)</f>
        <v>13</v>
      </c>
      <c r="D34">
        <f>ROW(EtalonRes!A13)</f>
        <v>13</v>
      </c>
      <c r="E34" t="s">
        <v>32</v>
      </c>
      <c r="F34" t="s">
        <v>33</v>
      </c>
      <c r="G34" t="s">
        <v>34</v>
      </c>
      <c r="H34" t="s">
        <v>35</v>
      </c>
      <c r="I34">
        <v>17.34</v>
      </c>
      <c r="J34">
        <v>0</v>
      </c>
      <c r="O34">
        <f>ROUND(CP34,2)</f>
        <v>135737.35</v>
      </c>
      <c r="P34">
        <f>ROUND(CQ34*I34,2)</f>
        <v>0</v>
      </c>
      <c r="Q34">
        <f>ROUND(CR34*I34,2)</f>
        <v>103029.77</v>
      </c>
      <c r="R34">
        <f>ROUND(CS34*I34,2)</f>
        <v>58117.78</v>
      </c>
      <c r="S34">
        <f>ROUND(CT34*I34,2)</f>
        <v>32707.58</v>
      </c>
      <c r="T34">
        <f>ROUND(CU34*I34,2)</f>
        <v>0</v>
      </c>
      <c r="U34">
        <f>CV34*I34</f>
        <v>155.0196</v>
      </c>
      <c r="V34">
        <f>CW34*I34</f>
        <v>0</v>
      </c>
      <c r="W34">
        <f>ROUND(CX34*I34,2)</f>
        <v>0</v>
      </c>
      <c r="X34">
        <f t="shared" si="28"/>
        <v>22895.31</v>
      </c>
      <c r="Y34">
        <f t="shared" si="28"/>
        <v>3270.76</v>
      </c>
      <c r="AA34">
        <v>38799519</v>
      </c>
      <c r="AB34">
        <f>ROUND((AC34+AD34+AF34),6)</f>
        <v>7827.99</v>
      </c>
      <c r="AC34">
        <f>ROUND((ES34),6)</f>
        <v>0</v>
      </c>
      <c r="AD34">
        <f>ROUND((((ET34)-(EU34))+AE34),6)</f>
        <v>5941.74</v>
      </c>
      <c r="AE34">
        <f>ROUND((EU34),6)</f>
        <v>3351.66</v>
      </c>
      <c r="AF34">
        <f>ROUND((EV34),6)</f>
        <v>1886.25</v>
      </c>
      <c r="AG34">
        <f>ROUND((AP34),6)</f>
        <v>0</v>
      </c>
      <c r="AH34">
        <f>(EW34)</f>
        <v>8.94</v>
      </c>
      <c r="AI34">
        <f>(EX34)</f>
        <v>0</v>
      </c>
      <c r="AJ34">
        <f>(AS34)</f>
        <v>0</v>
      </c>
      <c r="AK34">
        <v>7827.99</v>
      </c>
      <c r="AL34">
        <v>0</v>
      </c>
      <c r="AM34">
        <v>5941.74</v>
      </c>
      <c r="AN34">
        <v>3351.66</v>
      </c>
      <c r="AO34">
        <v>1886.25</v>
      </c>
      <c r="AP34">
        <v>0</v>
      </c>
      <c r="AQ34">
        <v>8.94</v>
      </c>
      <c r="AR34">
        <v>0</v>
      </c>
      <c r="AS34">
        <v>0</v>
      </c>
      <c r="AT34">
        <v>70</v>
      </c>
      <c r="AU34">
        <v>10</v>
      </c>
      <c r="AV34">
        <v>1</v>
      </c>
      <c r="AW34">
        <v>1</v>
      </c>
      <c r="AZ34">
        <v>1</v>
      </c>
      <c r="BA34">
        <v>1</v>
      </c>
      <c r="BB34">
        <v>1</v>
      </c>
      <c r="BC34">
        <v>1</v>
      </c>
      <c r="BD34" t="s">
        <v>3</v>
      </c>
      <c r="BE34" t="s">
        <v>3</v>
      </c>
      <c r="BF34" t="s">
        <v>3</v>
      </c>
      <c r="BG34" t="s">
        <v>3</v>
      </c>
      <c r="BH34">
        <v>0</v>
      </c>
      <c r="BI34">
        <v>4</v>
      </c>
      <c r="BJ34" t="s">
        <v>36</v>
      </c>
      <c r="BM34">
        <v>0</v>
      </c>
      <c r="BN34">
        <v>0</v>
      </c>
      <c r="BO34" t="s">
        <v>3</v>
      </c>
      <c r="BP34">
        <v>0</v>
      </c>
      <c r="BQ34">
        <v>1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 t="s">
        <v>3</v>
      </c>
      <c r="BZ34">
        <v>70</v>
      </c>
      <c r="CA34">
        <v>10</v>
      </c>
      <c r="CE34">
        <v>0</v>
      </c>
      <c r="CF34">
        <v>0</v>
      </c>
      <c r="CG34">
        <v>0</v>
      </c>
      <c r="CM34">
        <v>0</v>
      </c>
      <c r="CN34" t="s">
        <v>3</v>
      </c>
      <c r="CO34">
        <v>0</v>
      </c>
      <c r="CP34">
        <f>(P34+Q34+S34)</f>
        <v>135737.35</v>
      </c>
      <c r="CQ34">
        <f>(AC34*BC34*AW34)</f>
        <v>0</v>
      </c>
      <c r="CR34">
        <f>((((ET34)*BB34-(EU34)*BS34)+AE34*BS34)*AV34)</f>
        <v>5941.74</v>
      </c>
      <c r="CS34">
        <f>(AE34*BS34*AV34)</f>
        <v>3351.66</v>
      </c>
      <c r="CT34">
        <f>(AF34*BA34*AV34)</f>
        <v>1886.25</v>
      </c>
      <c r="CU34">
        <f>AG34</f>
        <v>0</v>
      </c>
      <c r="CV34">
        <f>(AH34*AV34)</f>
        <v>8.94</v>
      </c>
      <c r="CW34">
        <f t="shared" si="29"/>
        <v>0</v>
      </c>
      <c r="CX34">
        <f t="shared" si="29"/>
        <v>0</v>
      </c>
      <c r="CY34">
        <f>((S34*BZ34)/100)</f>
        <v>22895.306</v>
      </c>
      <c r="CZ34">
        <f>((S34*CA34)/100)</f>
        <v>3270.7580000000003</v>
      </c>
      <c r="DC34" t="s">
        <v>3</v>
      </c>
      <c r="DD34" t="s">
        <v>3</v>
      </c>
      <c r="DE34" t="s">
        <v>3</v>
      </c>
      <c r="DF34" t="s">
        <v>3</v>
      </c>
      <c r="DG34" t="s">
        <v>3</v>
      </c>
      <c r="DH34" t="s">
        <v>3</v>
      </c>
      <c r="DI34" t="s">
        <v>3</v>
      </c>
      <c r="DJ34" t="s">
        <v>3</v>
      </c>
      <c r="DK34" t="s">
        <v>3</v>
      </c>
      <c r="DL34" t="s">
        <v>3</v>
      </c>
      <c r="DM34" t="s">
        <v>3</v>
      </c>
      <c r="DN34">
        <v>0</v>
      </c>
      <c r="DO34">
        <v>0</v>
      </c>
      <c r="DP34">
        <v>1</v>
      </c>
      <c r="DQ34">
        <v>1</v>
      </c>
      <c r="DU34">
        <v>1007</v>
      </c>
      <c r="DV34" t="s">
        <v>35</v>
      </c>
      <c r="DW34" t="s">
        <v>35</v>
      </c>
      <c r="DX34">
        <v>1</v>
      </c>
      <c r="EE34">
        <v>38447819</v>
      </c>
      <c r="EF34">
        <v>1</v>
      </c>
      <c r="EG34" t="s">
        <v>23</v>
      </c>
      <c r="EH34">
        <v>0</v>
      </c>
      <c r="EI34" t="s">
        <v>3</v>
      </c>
      <c r="EJ34">
        <v>4</v>
      </c>
      <c r="EK34">
        <v>0</v>
      </c>
      <c r="EL34" t="s">
        <v>24</v>
      </c>
      <c r="EM34" t="s">
        <v>25</v>
      </c>
      <c r="EO34" t="s">
        <v>3</v>
      </c>
      <c r="EQ34">
        <v>0</v>
      </c>
      <c r="ER34">
        <v>7827.99</v>
      </c>
      <c r="ES34">
        <v>0</v>
      </c>
      <c r="ET34">
        <v>5941.74</v>
      </c>
      <c r="EU34">
        <v>3351.66</v>
      </c>
      <c r="EV34">
        <v>1886.25</v>
      </c>
      <c r="EW34">
        <v>8.94</v>
      </c>
      <c r="EX34">
        <v>0</v>
      </c>
      <c r="EY34">
        <v>0</v>
      </c>
      <c r="FQ34">
        <v>0</v>
      </c>
      <c r="FR34">
        <f>ROUND(IF(AND(BH34=3,BI34=3),P34,0),2)</f>
        <v>0</v>
      </c>
      <c r="FS34">
        <v>0</v>
      </c>
      <c r="FX34">
        <v>70</v>
      </c>
      <c r="FY34">
        <v>10</v>
      </c>
      <c r="GA34" t="s">
        <v>3</v>
      </c>
      <c r="GD34">
        <v>0</v>
      </c>
      <c r="GF34">
        <v>113009084</v>
      </c>
      <c r="GG34">
        <v>2</v>
      </c>
      <c r="GH34">
        <v>1</v>
      </c>
      <c r="GI34">
        <v>-2</v>
      </c>
      <c r="GJ34">
        <v>0</v>
      </c>
      <c r="GK34">
        <f>ROUND(R34*(R12)/100,2)</f>
        <v>62767.199999999997</v>
      </c>
      <c r="GL34">
        <f>ROUND(IF(AND(BH34=3,BI34=3,FS34&lt;&gt;0),P34,0),2)</f>
        <v>0</v>
      </c>
      <c r="GM34">
        <f>ROUND(O34+X34+Y34+GK34,2)+GX34</f>
        <v>224670.62</v>
      </c>
      <c r="GN34">
        <f>IF(OR(BI34=0,BI34=1),ROUND(O34+X34+Y34+GK34,2),0)</f>
        <v>0</v>
      </c>
      <c r="GO34">
        <f>IF(BI34=2,ROUND(O34+X34+Y34+GK34,2),0)</f>
        <v>0</v>
      </c>
      <c r="GP34">
        <f>IF(BI34=4,ROUND(O34+X34+Y34+GK34,2)+GX34,0)</f>
        <v>224670.62</v>
      </c>
      <c r="GR34">
        <v>0</v>
      </c>
      <c r="GS34">
        <v>3</v>
      </c>
      <c r="GT34">
        <v>0</v>
      </c>
      <c r="GU34" t="s">
        <v>3</v>
      </c>
      <c r="GV34">
        <f>ROUND((GT34),6)</f>
        <v>0</v>
      </c>
      <c r="GW34">
        <v>1</v>
      </c>
      <c r="GX34">
        <f>ROUND(HC34*I34,2)</f>
        <v>0</v>
      </c>
      <c r="HA34">
        <v>0</v>
      </c>
      <c r="HB34">
        <v>0</v>
      </c>
      <c r="HC34">
        <f>GV34*GW34</f>
        <v>0</v>
      </c>
      <c r="HE34" t="s">
        <v>3</v>
      </c>
      <c r="HF34" t="s">
        <v>3</v>
      </c>
      <c r="IK34">
        <v>0</v>
      </c>
    </row>
    <row r="35" spans="1:245" x14ac:dyDescent="0.2">
      <c r="A35">
        <v>19</v>
      </c>
      <c r="B35">
        <v>1</v>
      </c>
      <c r="F35" t="s">
        <v>3</v>
      </c>
      <c r="G35" t="s">
        <v>37</v>
      </c>
      <c r="H35" t="s">
        <v>3</v>
      </c>
      <c r="AA35">
        <v>1</v>
      </c>
      <c r="IK35">
        <v>0</v>
      </c>
    </row>
    <row r="36" spans="1:245" x14ac:dyDescent="0.2">
      <c r="A36">
        <v>17</v>
      </c>
      <c r="B36">
        <v>1</v>
      </c>
      <c r="C36">
        <f>ROW(SmtRes!A15)</f>
        <v>15</v>
      </c>
      <c r="D36">
        <f>ROW(EtalonRes!A15)</f>
        <v>15</v>
      </c>
      <c r="E36" t="s">
        <v>38</v>
      </c>
      <c r="F36" t="s">
        <v>39</v>
      </c>
      <c r="G36" t="s">
        <v>40</v>
      </c>
      <c r="H36" t="s">
        <v>19</v>
      </c>
      <c r="I36">
        <f>ROUND(81.6/100,9)</f>
        <v>0.81599999999999995</v>
      </c>
      <c r="J36">
        <v>0</v>
      </c>
      <c r="O36">
        <f>ROUND(CP36,2)</f>
        <v>4955.45</v>
      </c>
      <c r="P36">
        <f>ROUND(CQ36*I36,2)</f>
        <v>0</v>
      </c>
      <c r="Q36">
        <f>ROUND(CR36*I36,2)</f>
        <v>0</v>
      </c>
      <c r="R36">
        <f>ROUND(CS36*I36,2)</f>
        <v>0</v>
      </c>
      <c r="S36">
        <f>ROUND(CT36*I36,2)</f>
        <v>4955.45</v>
      </c>
      <c r="T36">
        <f>ROUND(CU36*I36,2)</f>
        <v>0</v>
      </c>
      <c r="U36">
        <f>CV36*I36</f>
        <v>27.4176</v>
      </c>
      <c r="V36">
        <f>CW36*I36</f>
        <v>0</v>
      </c>
      <c r="W36">
        <f>ROUND(CX36*I36,2)</f>
        <v>0</v>
      </c>
      <c r="X36">
        <f t="shared" ref="X36:Y38" si="30">ROUND(CY36,2)</f>
        <v>3468.82</v>
      </c>
      <c r="Y36">
        <f t="shared" si="30"/>
        <v>495.55</v>
      </c>
      <c r="AA36">
        <v>38799519</v>
      </c>
      <c r="AB36">
        <f>ROUND((AC36+AD36+AF36),6)</f>
        <v>6072.86</v>
      </c>
      <c r="AC36">
        <f>ROUND((ES36),6)</f>
        <v>0</v>
      </c>
      <c r="AD36">
        <f>ROUND((((ET36)-(EU36))+AE36),6)</f>
        <v>0</v>
      </c>
      <c r="AE36">
        <f t="shared" ref="AE36:AF38" si="31">ROUND((EU36),6)</f>
        <v>0</v>
      </c>
      <c r="AF36">
        <f t="shared" si="31"/>
        <v>6072.86</v>
      </c>
      <c r="AG36">
        <f>ROUND((AP36),6)</f>
        <v>0</v>
      </c>
      <c r="AH36">
        <f t="shared" ref="AH36:AI38" si="32">(EW36)</f>
        <v>33.6</v>
      </c>
      <c r="AI36">
        <f t="shared" si="32"/>
        <v>0</v>
      </c>
      <c r="AJ36">
        <f>(AS36)</f>
        <v>0</v>
      </c>
      <c r="AK36">
        <v>6072.86</v>
      </c>
      <c r="AL36">
        <v>0</v>
      </c>
      <c r="AM36">
        <v>0</v>
      </c>
      <c r="AN36">
        <v>0</v>
      </c>
      <c r="AO36">
        <v>6072.86</v>
      </c>
      <c r="AP36">
        <v>0</v>
      </c>
      <c r="AQ36">
        <v>33.6</v>
      </c>
      <c r="AR36">
        <v>0</v>
      </c>
      <c r="AS36">
        <v>0</v>
      </c>
      <c r="AT36">
        <v>70</v>
      </c>
      <c r="AU36">
        <v>10</v>
      </c>
      <c r="AV36">
        <v>1</v>
      </c>
      <c r="AW36">
        <v>1</v>
      </c>
      <c r="AZ36">
        <v>1</v>
      </c>
      <c r="BA36">
        <v>1</v>
      </c>
      <c r="BB36">
        <v>1</v>
      </c>
      <c r="BC36">
        <v>1</v>
      </c>
      <c r="BD36" t="s">
        <v>3</v>
      </c>
      <c r="BE36" t="s">
        <v>3</v>
      </c>
      <c r="BF36" t="s">
        <v>3</v>
      </c>
      <c r="BG36" t="s">
        <v>3</v>
      </c>
      <c r="BH36">
        <v>0</v>
      </c>
      <c r="BI36">
        <v>4</v>
      </c>
      <c r="BJ36" t="s">
        <v>41</v>
      </c>
      <c r="BM36">
        <v>0</v>
      </c>
      <c r="BN36">
        <v>0</v>
      </c>
      <c r="BO36" t="s">
        <v>3</v>
      </c>
      <c r="BP36">
        <v>0</v>
      </c>
      <c r="BQ36">
        <v>1</v>
      </c>
      <c r="BR36">
        <v>0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 t="s">
        <v>3</v>
      </c>
      <c r="BZ36">
        <v>70</v>
      </c>
      <c r="CA36">
        <v>10</v>
      </c>
      <c r="CE36">
        <v>0</v>
      </c>
      <c r="CF36">
        <v>0</v>
      </c>
      <c r="CG36">
        <v>0</v>
      </c>
      <c r="CM36">
        <v>0</v>
      </c>
      <c r="CN36" t="s">
        <v>3</v>
      </c>
      <c r="CO36">
        <v>0</v>
      </c>
      <c r="CP36">
        <f>(P36+Q36+S36)</f>
        <v>4955.45</v>
      </c>
      <c r="CQ36">
        <f>(AC36*BC36*AW36)</f>
        <v>0</v>
      </c>
      <c r="CR36">
        <f>((((ET36)*BB36-(EU36)*BS36)+AE36*BS36)*AV36)</f>
        <v>0</v>
      </c>
      <c r="CS36">
        <f>(AE36*BS36*AV36)</f>
        <v>0</v>
      </c>
      <c r="CT36">
        <f>(AF36*BA36*AV36)</f>
        <v>6072.86</v>
      </c>
      <c r="CU36">
        <f>AG36</f>
        <v>0</v>
      </c>
      <c r="CV36">
        <f>(AH36*AV36)</f>
        <v>33.6</v>
      </c>
      <c r="CW36">
        <f t="shared" ref="CW36:CX38" si="33">AI36</f>
        <v>0</v>
      </c>
      <c r="CX36">
        <f t="shared" si="33"/>
        <v>0</v>
      </c>
      <c r="CY36">
        <f>((S36*BZ36)/100)</f>
        <v>3468.8150000000001</v>
      </c>
      <c r="CZ36">
        <f>((S36*CA36)/100)</f>
        <v>495.54500000000002</v>
      </c>
      <c r="DC36" t="s">
        <v>3</v>
      </c>
      <c r="DD36" t="s">
        <v>3</v>
      </c>
      <c r="DE36" t="s">
        <v>3</v>
      </c>
      <c r="DF36" t="s">
        <v>3</v>
      </c>
      <c r="DG36" t="s">
        <v>3</v>
      </c>
      <c r="DH36" t="s">
        <v>3</v>
      </c>
      <c r="DI36" t="s">
        <v>3</v>
      </c>
      <c r="DJ36" t="s">
        <v>3</v>
      </c>
      <c r="DK36" t="s">
        <v>3</v>
      </c>
      <c r="DL36" t="s">
        <v>3</v>
      </c>
      <c r="DM36" t="s">
        <v>3</v>
      </c>
      <c r="DN36">
        <v>0</v>
      </c>
      <c r="DO36">
        <v>0</v>
      </c>
      <c r="DP36">
        <v>1</v>
      </c>
      <c r="DQ36">
        <v>1</v>
      </c>
      <c r="DU36">
        <v>1005</v>
      </c>
      <c r="DV36" t="s">
        <v>19</v>
      </c>
      <c r="DW36" t="s">
        <v>19</v>
      </c>
      <c r="DX36">
        <v>100</v>
      </c>
      <c r="EE36">
        <v>38447819</v>
      </c>
      <c r="EF36">
        <v>1</v>
      </c>
      <c r="EG36" t="s">
        <v>23</v>
      </c>
      <c r="EH36">
        <v>0</v>
      </c>
      <c r="EI36" t="s">
        <v>3</v>
      </c>
      <c r="EJ36">
        <v>4</v>
      </c>
      <c r="EK36">
        <v>0</v>
      </c>
      <c r="EL36" t="s">
        <v>24</v>
      </c>
      <c r="EM36" t="s">
        <v>25</v>
      </c>
      <c r="EO36" t="s">
        <v>3</v>
      </c>
      <c r="EQ36">
        <v>0</v>
      </c>
      <c r="ER36">
        <v>6072.86</v>
      </c>
      <c r="ES36">
        <v>0</v>
      </c>
      <c r="ET36">
        <v>0</v>
      </c>
      <c r="EU36">
        <v>0</v>
      </c>
      <c r="EV36">
        <v>6072.86</v>
      </c>
      <c r="EW36">
        <v>33.6</v>
      </c>
      <c r="EX36">
        <v>0</v>
      </c>
      <c r="EY36">
        <v>0</v>
      </c>
      <c r="FQ36">
        <v>0</v>
      </c>
      <c r="FR36">
        <f>ROUND(IF(AND(BH36=3,BI36=3),P36,0),2)</f>
        <v>0</v>
      </c>
      <c r="FS36">
        <v>0</v>
      </c>
      <c r="FX36">
        <v>70</v>
      </c>
      <c r="FY36">
        <v>10</v>
      </c>
      <c r="GA36" t="s">
        <v>3</v>
      </c>
      <c r="GD36">
        <v>0</v>
      </c>
      <c r="GF36">
        <v>-751443610</v>
      </c>
      <c r="GG36">
        <v>2</v>
      </c>
      <c r="GH36">
        <v>1</v>
      </c>
      <c r="GI36">
        <v>-2</v>
      </c>
      <c r="GJ36">
        <v>0</v>
      </c>
      <c r="GK36">
        <f>ROUND(R36*(R12)/100,2)</f>
        <v>0</v>
      </c>
      <c r="GL36">
        <f>ROUND(IF(AND(BH36=3,BI36=3,FS36&lt;&gt;0),P36,0),2)</f>
        <v>0</v>
      </c>
      <c r="GM36">
        <f>ROUND(O36+X36+Y36+GK36,2)+GX36</f>
        <v>8919.82</v>
      </c>
      <c r="GN36">
        <f>IF(OR(BI36=0,BI36=1),ROUND(O36+X36+Y36+GK36,2),0)</f>
        <v>0</v>
      </c>
      <c r="GO36">
        <f>IF(BI36=2,ROUND(O36+X36+Y36+GK36,2),0)</f>
        <v>0</v>
      </c>
      <c r="GP36">
        <f>IF(BI36=4,ROUND(O36+X36+Y36+GK36,2)+GX36,0)</f>
        <v>8919.82</v>
      </c>
      <c r="GR36">
        <v>0</v>
      </c>
      <c r="GS36">
        <v>3</v>
      </c>
      <c r="GT36">
        <v>0</v>
      </c>
      <c r="GU36" t="s">
        <v>3</v>
      </c>
      <c r="GV36">
        <f>ROUND((GT36),6)</f>
        <v>0</v>
      </c>
      <c r="GW36">
        <v>1</v>
      </c>
      <c r="GX36">
        <f>ROUND(HC36*I36,2)</f>
        <v>0</v>
      </c>
      <c r="HA36">
        <v>0</v>
      </c>
      <c r="HB36">
        <v>0</v>
      </c>
      <c r="HC36">
        <f>GV36*GW36</f>
        <v>0</v>
      </c>
      <c r="HE36" t="s">
        <v>3</v>
      </c>
      <c r="HF36" t="s">
        <v>3</v>
      </c>
      <c r="IK36">
        <v>0</v>
      </c>
    </row>
    <row r="37" spans="1:245" x14ac:dyDescent="0.2">
      <c r="A37">
        <v>17</v>
      </c>
      <c r="B37">
        <v>1</v>
      </c>
      <c r="C37">
        <f>ROW(SmtRes!A17)</f>
        <v>17</v>
      </c>
      <c r="D37">
        <f>ROW(EtalonRes!A17)</f>
        <v>17</v>
      </c>
      <c r="E37" t="s">
        <v>42</v>
      </c>
      <c r="F37" t="s">
        <v>43</v>
      </c>
      <c r="G37" t="s">
        <v>44</v>
      </c>
      <c r="H37" t="s">
        <v>19</v>
      </c>
      <c r="I37">
        <f>ROUND(81.6/100,9)</f>
        <v>0.81599999999999995</v>
      </c>
      <c r="J37">
        <v>0</v>
      </c>
      <c r="O37">
        <f>ROUND(CP37,2)</f>
        <v>1131.2</v>
      </c>
      <c r="P37">
        <f>ROUND(CQ37*I37,2)</f>
        <v>0</v>
      </c>
      <c r="Q37">
        <f>ROUND(CR37*I37,2)</f>
        <v>0</v>
      </c>
      <c r="R37">
        <f>ROUND(CS37*I37,2)</f>
        <v>0</v>
      </c>
      <c r="S37">
        <f>ROUND(CT37*I37,2)</f>
        <v>1131.2</v>
      </c>
      <c r="T37">
        <f>ROUND(CU37*I37,2)</f>
        <v>0</v>
      </c>
      <c r="U37">
        <f>CV37*I37</f>
        <v>6.2587199999999994</v>
      </c>
      <c r="V37">
        <f>CW37*I37</f>
        <v>0</v>
      </c>
      <c r="W37">
        <f>ROUND(CX37*I37,2)</f>
        <v>0</v>
      </c>
      <c r="X37">
        <f t="shared" si="30"/>
        <v>791.84</v>
      </c>
      <c r="Y37">
        <f t="shared" si="30"/>
        <v>113.12</v>
      </c>
      <c r="AA37">
        <v>38799519</v>
      </c>
      <c r="AB37">
        <f>ROUND((AC37+AD37+AF37),6)</f>
        <v>1386.28</v>
      </c>
      <c r="AC37">
        <f>ROUND((ES37),6)</f>
        <v>0</v>
      </c>
      <c r="AD37">
        <f>ROUND((((ET37)-(EU37))+AE37),6)</f>
        <v>0</v>
      </c>
      <c r="AE37">
        <f t="shared" si="31"/>
        <v>0</v>
      </c>
      <c r="AF37">
        <f t="shared" si="31"/>
        <v>1386.28</v>
      </c>
      <c r="AG37">
        <f>ROUND((AP37),6)</f>
        <v>0</v>
      </c>
      <c r="AH37">
        <f t="shared" si="32"/>
        <v>7.67</v>
      </c>
      <c r="AI37">
        <f t="shared" si="32"/>
        <v>0</v>
      </c>
      <c r="AJ37">
        <f>(AS37)</f>
        <v>0</v>
      </c>
      <c r="AK37">
        <v>1386.28</v>
      </c>
      <c r="AL37">
        <v>0</v>
      </c>
      <c r="AM37">
        <v>0</v>
      </c>
      <c r="AN37">
        <v>0</v>
      </c>
      <c r="AO37">
        <v>1386.28</v>
      </c>
      <c r="AP37">
        <v>0</v>
      </c>
      <c r="AQ37">
        <v>7.67</v>
      </c>
      <c r="AR37">
        <v>0</v>
      </c>
      <c r="AS37">
        <v>0</v>
      </c>
      <c r="AT37">
        <v>70</v>
      </c>
      <c r="AU37">
        <v>10</v>
      </c>
      <c r="AV37">
        <v>1</v>
      </c>
      <c r="AW37">
        <v>1</v>
      </c>
      <c r="AZ37">
        <v>1</v>
      </c>
      <c r="BA37">
        <v>1</v>
      </c>
      <c r="BB37">
        <v>1</v>
      </c>
      <c r="BC37">
        <v>1</v>
      </c>
      <c r="BD37" t="s">
        <v>3</v>
      </c>
      <c r="BE37" t="s">
        <v>3</v>
      </c>
      <c r="BF37" t="s">
        <v>3</v>
      </c>
      <c r="BG37" t="s">
        <v>3</v>
      </c>
      <c r="BH37">
        <v>0</v>
      </c>
      <c r="BI37">
        <v>4</v>
      </c>
      <c r="BJ37" t="s">
        <v>45</v>
      </c>
      <c r="BM37">
        <v>0</v>
      </c>
      <c r="BN37">
        <v>0</v>
      </c>
      <c r="BO37" t="s">
        <v>3</v>
      </c>
      <c r="BP37">
        <v>0</v>
      </c>
      <c r="BQ37">
        <v>1</v>
      </c>
      <c r="BR37">
        <v>0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 t="s">
        <v>3</v>
      </c>
      <c r="BZ37">
        <v>70</v>
      </c>
      <c r="CA37">
        <v>10</v>
      </c>
      <c r="CE37">
        <v>0</v>
      </c>
      <c r="CF37">
        <v>0</v>
      </c>
      <c r="CG37">
        <v>0</v>
      </c>
      <c r="CM37">
        <v>0</v>
      </c>
      <c r="CN37" t="s">
        <v>3</v>
      </c>
      <c r="CO37">
        <v>0</v>
      </c>
      <c r="CP37">
        <f>(P37+Q37+S37)</f>
        <v>1131.2</v>
      </c>
      <c r="CQ37">
        <f>(AC37*BC37*AW37)</f>
        <v>0</v>
      </c>
      <c r="CR37">
        <f>((((ET37)*BB37-(EU37)*BS37)+AE37*BS37)*AV37)</f>
        <v>0</v>
      </c>
      <c r="CS37">
        <f>(AE37*BS37*AV37)</f>
        <v>0</v>
      </c>
      <c r="CT37">
        <f>(AF37*BA37*AV37)</f>
        <v>1386.28</v>
      </c>
      <c r="CU37">
        <f>AG37</f>
        <v>0</v>
      </c>
      <c r="CV37">
        <f>(AH37*AV37)</f>
        <v>7.67</v>
      </c>
      <c r="CW37">
        <f t="shared" si="33"/>
        <v>0</v>
      </c>
      <c r="CX37">
        <f t="shared" si="33"/>
        <v>0</v>
      </c>
      <c r="CY37">
        <f>((S37*BZ37)/100)</f>
        <v>791.84</v>
      </c>
      <c r="CZ37">
        <f>((S37*CA37)/100)</f>
        <v>113.12</v>
      </c>
      <c r="DC37" t="s">
        <v>3</v>
      </c>
      <c r="DD37" t="s">
        <v>3</v>
      </c>
      <c r="DE37" t="s">
        <v>3</v>
      </c>
      <c r="DF37" t="s">
        <v>3</v>
      </c>
      <c r="DG37" t="s">
        <v>3</v>
      </c>
      <c r="DH37" t="s">
        <v>3</v>
      </c>
      <c r="DI37" t="s">
        <v>3</v>
      </c>
      <c r="DJ37" t="s">
        <v>3</v>
      </c>
      <c r="DK37" t="s">
        <v>3</v>
      </c>
      <c r="DL37" t="s">
        <v>3</v>
      </c>
      <c r="DM37" t="s">
        <v>3</v>
      </c>
      <c r="DN37">
        <v>0</v>
      </c>
      <c r="DO37">
        <v>0</v>
      </c>
      <c r="DP37">
        <v>1</v>
      </c>
      <c r="DQ37">
        <v>1</v>
      </c>
      <c r="DU37">
        <v>1005</v>
      </c>
      <c r="DV37" t="s">
        <v>19</v>
      </c>
      <c r="DW37" t="s">
        <v>19</v>
      </c>
      <c r="DX37">
        <v>100</v>
      </c>
      <c r="EE37">
        <v>38447819</v>
      </c>
      <c r="EF37">
        <v>1</v>
      </c>
      <c r="EG37" t="s">
        <v>23</v>
      </c>
      <c r="EH37">
        <v>0</v>
      </c>
      <c r="EI37" t="s">
        <v>3</v>
      </c>
      <c r="EJ37">
        <v>4</v>
      </c>
      <c r="EK37">
        <v>0</v>
      </c>
      <c r="EL37" t="s">
        <v>24</v>
      </c>
      <c r="EM37" t="s">
        <v>25</v>
      </c>
      <c r="EO37" t="s">
        <v>3</v>
      </c>
      <c r="EQ37">
        <v>0</v>
      </c>
      <c r="ER37">
        <v>1386.28</v>
      </c>
      <c r="ES37">
        <v>0</v>
      </c>
      <c r="ET37">
        <v>0</v>
      </c>
      <c r="EU37">
        <v>0</v>
      </c>
      <c r="EV37">
        <v>1386.28</v>
      </c>
      <c r="EW37">
        <v>7.67</v>
      </c>
      <c r="EX37">
        <v>0</v>
      </c>
      <c r="EY37">
        <v>0</v>
      </c>
      <c r="FQ37">
        <v>0</v>
      </c>
      <c r="FR37">
        <f>ROUND(IF(AND(BH37=3,BI37=3),P37,0),2)</f>
        <v>0</v>
      </c>
      <c r="FS37">
        <v>0</v>
      </c>
      <c r="FX37">
        <v>70</v>
      </c>
      <c r="FY37">
        <v>10</v>
      </c>
      <c r="GA37" t="s">
        <v>3</v>
      </c>
      <c r="GD37">
        <v>0</v>
      </c>
      <c r="GF37">
        <v>1760444837</v>
      </c>
      <c r="GG37">
        <v>2</v>
      </c>
      <c r="GH37">
        <v>1</v>
      </c>
      <c r="GI37">
        <v>-2</v>
      </c>
      <c r="GJ37">
        <v>0</v>
      </c>
      <c r="GK37">
        <f>ROUND(R37*(R12)/100,2)</f>
        <v>0</v>
      </c>
      <c r="GL37">
        <f>ROUND(IF(AND(BH37=3,BI37=3,FS37&lt;&gt;0),P37,0),2)</f>
        <v>0</v>
      </c>
      <c r="GM37">
        <f>ROUND(O37+X37+Y37+GK37,2)+GX37</f>
        <v>2036.16</v>
      </c>
      <c r="GN37">
        <f>IF(OR(BI37=0,BI37=1),ROUND(O37+X37+Y37+GK37,2),0)</f>
        <v>0</v>
      </c>
      <c r="GO37">
        <f>IF(BI37=2,ROUND(O37+X37+Y37+GK37,2),0)</f>
        <v>0</v>
      </c>
      <c r="GP37">
        <f>IF(BI37=4,ROUND(O37+X37+Y37+GK37,2)+GX37,0)</f>
        <v>2036.16</v>
      </c>
      <c r="GR37">
        <v>0</v>
      </c>
      <c r="GS37">
        <v>3</v>
      </c>
      <c r="GT37">
        <v>0</v>
      </c>
      <c r="GU37" t="s">
        <v>3</v>
      </c>
      <c r="GV37">
        <f>ROUND((GT37),6)</f>
        <v>0</v>
      </c>
      <c r="GW37">
        <v>1</v>
      </c>
      <c r="GX37">
        <f>ROUND(HC37*I37,2)</f>
        <v>0</v>
      </c>
      <c r="HA37">
        <v>0</v>
      </c>
      <c r="HB37">
        <v>0</v>
      </c>
      <c r="HC37">
        <f>GV37*GW37</f>
        <v>0</v>
      </c>
      <c r="HE37" t="s">
        <v>3</v>
      </c>
      <c r="HF37" t="s">
        <v>3</v>
      </c>
      <c r="IK37">
        <v>0</v>
      </c>
    </row>
    <row r="38" spans="1:245" x14ac:dyDescent="0.2">
      <c r="A38">
        <v>17</v>
      </c>
      <c r="B38">
        <v>1</v>
      </c>
      <c r="C38">
        <f>ROW(SmtRes!A19)</f>
        <v>19</v>
      </c>
      <c r="D38">
        <f>ROW(EtalonRes!A19)</f>
        <v>19</v>
      </c>
      <c r="E38" t="s">
        <v>46</v>
      </c>
      <c r="F38" t="s">
        <v>47</v>
      </c>
      <c r="G38" t="s">
        <v>48</v>
      </c>
      <c r="H38" t="s">
        <v>19</v>
      </c>
      <c r="I38">
        <f>ROUND(41.9/100,9)</f>
        <v>0.41899999999999998</v>
      </c>
      <c r="J38">
        <v>0</v>
      </c>
      <c r="O38">
        <f>ROUND(CP38,2)</f>
        <v>3285.43</v>
      </c>
      <c r="P38">
        <f>ROUND(CQ38*I38,2)</f>
        <v>0</v>
      </c>
      <c r="Q38">
        <f>ROUND(CR38*I38,2)</f>
        <v>0</v>
      </c>
      <c r="R38">
        <f>ROUND(CS38*I38,2)</f>
        <v>0</v>
      </c>
      <c r="S38">
        <f>ROUND(CT38*I38,2)</f>
        <v>3285.43</v>
      </c>
      <c r="T38">
        <f>ROUND(CU38*I38,2)</f>
        <v>0</v>
      </c>
      <c r="U38">
        <f>CV38*I38</f>
        <v>22.533819999999999</v>
      </c>
      <c r="V38">
        <f>CW38*I38</f>
        <v>0</v>
      </c>
      <c r="W38">
        <f>ROUND(CX38*I38,2)</f>
        <v>0</v>
      </c>
      <c r="X38">
        <f t="shared" si="30"/>
        <v>2299.8000000000002</v>
      </c>
      <c r="Y38">
        <f t="shared" si="30"/>
        <v>328.54</v>
      </c>
      <c r="AA38">
        <v>38799519</v>
      </c>
      <c r="AB38">
        <f>ROUND((AC38+AD38+AF38),6)</f>
        <v>7841.12</v>
      </c>
      <c r="AC38">
        <f>ROUND((ES38),6)</f>
        <v>0</v>
      </c>
      <c r="AD38">
        <f>ROUND((((ET38)-(EU38))+AE38),6)</f>
        <v>0</v>
      </c>
      <c r="AE38">
        <f t="shared" si="31"/>
        <v>0</v>
      </c>
      <c r="AF38">
        <f t="shared" si="31"/>
        <v>7841.12</v>
      </c>
      <c r="AG38">
        <f>ROUND((AP38),6)</f>
        <v>0</v>
      </c>
      <c r="AH38">
        <f t="shared" si="32"/>
        <v>53.78</v>
      </c>
      <c r="AI38">
        <f t="shared" si="32"/>
        <v>0</v>
      </c>
      <c r="AJ38">
        <f>(AS38)</f>
        <v>0</v>
      </c>
      <c r="AK38">
        <v>7841.12</v>
      </c>
      <c r="AL38">
        <v>0</v>
      </c>
      <c r="AM38">
        <v>0</v>
      </c>
      <c r="AN38">
        <v>0</v>
      </c>
      <c r="AO38">
        <v>7841.12</v>
      </c>
      <c r="AP38">
        <v>0</v>
      </c>
      <c r="AQ38">
        <v>53.78</v>
      </c>
      <c r="AR38">
        <v>0</v>
      </c>
      <c r="AS38">
        <v>0</v>
      </c>
      <c r="AT38">
        <v>70</v>
      </c>
      <c r="AU38">
        <v>10</v>
      </c>
      <c r="AV38">
        <v>1</v>
      </c>
      <c r="AW38">
        <v>1</v>
      </c>
      <c r="AZ38">
        <v>1</v>
      </c>
      <c r="BA38">
        <v>1</v>
      </c>
      <c r="BB38">
        <v>1</v>
      </c>
      <c r="BC38">
        <v>1</v>
      </c>
      <c r="BD38" t="s">
        <v>3</v>
      </c>
      <c r="BE38" t="s">
        <v>3</v>
      </c>
      <c r="BF38" t="s">
        <v>3</v>
      </c>
      <c r="BG38" t="s">
        <v>3</v>
      </c>
      <c r="BH38">
        <v>0</v>
      </c>
      <c r="BI38">
        <v>4</v>
      </c>
      <c r="BJ38" t="s">
        <v>49</v>
      </c>
      <c r="BM38">
        <v>0</v>
      </c>
      <c r="BN38">
        <v>0</v>
      </c>
      <c r="BO38" t="s">
        <v>3</v>
      </c>
      <c r="BP38">
        <v>0</v>
      </c>
      <c r="BQ38">
        <v>1</v>
      </c>
      <c r="BR38">
        <v>0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 t="s">
        <v>3</v>
      </c>
      <c r="BZ38">
        <v>70</v>
      </c>
      <c r="CA38">
        <v>10</v>
      </c>
      <c r="CE38">
        <v>0</v>
      </c>
      <c r="CF38">
        <v>0</v>
      </c>
      <c r="CG38">
        <v>0</v>
      </c>
      <c r="CM38">
        <v>0</v>
      </c>
      <c r="CN38" t="s">
        <v>3</v>
      </c>
      <c r="CO38">
        <v>0</v>
      </c>
      <c r="CP38">
        <f>(P38+Q38+S38)</f>
        <v>3285.43</v>
      </c>
      <c r="CQ38">
        <f>(AC38*BC38*AW38)</f>
        <v>0</v>
      </c>
      <c r="CR38">
        <f>((((ET38)*BB38-(EU38)*BS38)+AE38*BS38)*AV38)</f>
        <v>0</v>
      </c>
      <c r="CS38">
        <f>(AE38*BS38*AV38)</f>
        <v>0</v>
      </c>
      <c r="CT38">
        <f>(AF38*BA38*AV38)</f>
        <v>7841.12</v>
      </c>
      <c r="CU38">
        <f>AG38</f>
        <v>0</v>
      </c>
      <c r="CV38">
        <f>(AH38*AV38)</f>
        <v>53.78</v>
      </c>
      <c r="CW38">
        <f t="shared" si="33"/>
        <v>0</v>
      </c>
      <c r="CX38">
        <f t="shared" si="33"/>
        <v>0</v>
      </c>
      <c r="CY38">
        <f>((S38*BZ38)/100)</f>
        <v>2299.8009999999999</v>
      </c>
      <c r="CZ38">
        <f>((S38*CA38)/100)</f>
        <v>328.54299999999995</v>
      </c>
      <c r="DC38" t="s">
        <v>3</v>
      </c>
      <c r="DD38" t="s">
        <v>3</v>
      </c>
      <c r="DE38" t="s">
        <v>3</v>
      </c>
      <c r="DF38" t="s">
        <v>3</v>
      </c>
      <c r="DG38" t="s">
        <v>3</v>
      </c>
      <c r="DH38" t="s">
        <v>3</v>
      </c>
      <c r="DI38" t="s">
        <v>3</v>
      </c>
      <c r="DJ38" t="s">
        <v>3</v>
      </c>
      <c r="DK38" t="s">
        <v>3</v>
      </c>
      <c r="DL38" t="s">
        <v>3</v>
      </c>
      <c r="DM38" t="s">
        <v>3</v>
      </c>
      <c r="DN38">
        <v>0</v>
      </c>
      <c r="DO38">
        <v>0</v>
      </c>
      <c r="DP38">
        <v>1</v>
      </c>
      <c r="DQ38">
        <v>1</v>
      </c>
      <c r="DU38">
        <v>1005</v>
      </c>
      <c r="DV38" t="s">
        <v>19</v>
      </c>
      <c r="DW38" t="s">
        <v>19</v>
      </c>
      <c r="DX38">
        <v>100</v>
      </c>
      <c r="EE38">
        <v>38447819</v>
      </c>
      <c r="EF38">
        <v>1</v>
      </c>
      <c r="EG38" t="s">
        <v>23</v>
      </c>
      <c r="EH38">
        <v>0</v>
      </c>
      <c r="EI38" t="s">
        <v>3</v>
      </c>
      <c r="EJ38">
        <v>4</v>
      </c>
      <c r="EK38">
        <v>0</v>
      </c>
      <c r="EL38" t="s">
        <v>24</v>
      </c>
      <c r="EM38" t="s">
        <v>25</v>
      </c>
      <c r="EO38" t="s">
        <v>3</v>
      </c>
      <c r="EQ38">
        <v>0</v>
      </c>
      <c r="ER38">
        <v>7841.12</v>
      </c>
      <c r="ES38">
        <v>0</v>
      </c>
      <c r="ET38">
        <v>0</v>
      </c>
      <c r="EU38">
        <v>0</v>
      </c>
      <c r="EV38">
        <v>7841.12</v>
      </c>
      <c r="EW38">
        <v>53.78</v>
      </c>
      <c r="EX38">
        <v>0</v>
      </c>
      <c r="EY38">
        <v>0</v>
      </c>
      <c r="FQ38">
        <v>0</v>
      </c>
      <c r="FR38">
        <f>ROUND(IF(AND(BH38=3,BI38=3),P38,0),2)</f>
        <v>0</v>
      </c>
      <c r="FS38">
        <v>0</v>
      </c>
      <c r="FX38">
        <v>70</v>
      </c>
      <c r="FY38">
        <v>10</v>
      </c>
      <c r="GA38" t="s">
        <v>3</v>
      </c>
      <c r="GD38">
        <v>0</v>
      </c>
      <c r="GF38">
        <v>-1371217423</v>
      </c>
      <c r="GG38">
        <v>2</v>
      </c>
      <c r="GH38">
        <v>1</v>
      </c>
      <c r="GI38">
        <v>-2</v>
      </c>
      <c r="GJ38">
        <v>0</v>
      </c>
      <c r="GK38">
        <f>ROUND(R38*(R12)/100,2)</f>
        <v>0</v>
      </c>
      <c r="GL38">
        <f>ROUND(IF(AND(BH38=3,BI38=3,FS38&lt;&gt;0),P38,0),2)</f>
        <v>0</v>
      </c>
      <c r="GM38">
        <f>ROUND(O38+X38+Y38+GK38,2)+GX38</f>
        <v>5913.77</v>
      </c>
      <c r="GN38">
        <f>IF(OR(BI38=0,BI38=1),ROUND(O38+X38+Y38+GK38,2),0)</f>
        <v>0</v>
      </c>
      <c r="GO38">
        <f>IF(BI38=2,ROUND(O38+X38+Y38+GK38,2),0)</f>
        <v>0</v>
      </c>
      <c r="GP38">
        <f>IF(BI38=4,ROUND(O38+X38+Y38+GK38,2)+GX38,0)</f>
        <v>5913.77</v>
      </c>
      <c r="GR38">
        <v>0</v>
      </c>
      <c r="GS38">
        <v>3</v>
      </c>
      <c r="GT38">
        <v>0</v>
      </c>
      <c r="GU38" t="s">
        <v>3</v>
      </c>
      <c r="GV38">
        <f>ROUND((GT38),6)</f>
        <v>0</v>
      </c>
      <c r="GW38">
        <v>1</v>
      </c>
      <c r="GX38">
        <f>ROUND(HC38*I38,2)</f>
        <v>0</v>
      </c>
      <c r="HA38">
        <v>0</v>
      </c>
      <c r="HB38">
        <v>0</v>
      </c>
      <c r="HC38">
        <f>GV38*GW38</f>
        <v>0</v>
      </c>
      <c r="HE38" t="s">
        <v>3</v>
      </c>
      <c r="HF38" t="s">
        <v>3</v>
      </c>
      <c r="IK38">
        <v>0</v>
      </c>
    </row>
    <row r="40" spans="1:245" x14ac:dyDescent="0.2">
      <c r="A40" s="2">
        <v>51</v>
      </c>
      <c r="B40" s="2">
        <f>B28</f>
        <v>1</v>
      </c>
      <c r="C40" s="2">
        <f>A28</f>
        <v>5</v>
      </c>
      <c r="D40" s="2">
        <f>ROW(A28)</f>
        <v>28</v>
      </c>
      <c r="E40" s="2"/>
      <c r="F40" s="2" t="str">
        <f>IF(F28&lt;&gt;"",F28,"")</f>
        <v>Новый подраздел</v>
      </c>
      <c r="G40" s="2" t="str">
        <f>IF(G28&lt;&gt;"",G28,"")</f>
        <v>Демонтажные работы</v>
      </c>
      <c r="H40" s="2">
        <v>0</v>
      </c>
      <c r="I40" s="2"/>
      <c r="J40" s="2"/>
      <c r="K40" s="2"/>
      <c r="L40" s="2"/>
      <c r="M40" s="2"/>
      <c r="N40" s="2"/>
      <c r="O40" s="2">
        <f t="shared" ref="O40:T40" si="34">ROUND(AB40,2)</f>
        <v>153385.37</v>
      </c>
      <c r="P40" s="2">
        <f t="shared" si="34"/>
        <v>0</v>
      </c>
      <c r="Q40" s="2">
        <f t="shared" si="34"/>
        <v>103037.41</v>
      </c>
      <c r="R40" s="2">
        <f t="shared" si="34"/>
        <v>58118.6</v>
      </c>
      <c r="S40" s="2">
        <f t="shared" si="34"/>
        <v>50347.96</v>
      </c>
      <c r="T40" s="2">
        <f t="shared" si="34"/>
        <v>0</v>
      </c>
      <c r="U40" s="2">
        <f>AH40</f>
        <v>245.78013999999999</v>
      </c>
      <c r="V40" s="2">
        <f>AI40</f>
        <v>0</v>
      </c>
      <c r="W40" s="2">
        <f>ROUND(AJ40,2)</f>
        <v>0</v>
      </c>
      <c r="X40" s="2">
        <f>ROUND(AK40,2)</f>
        <v>35243.58</v>
      </c>
      <c r="Y40" s="2">
        <f>ROUND(AL40,2)</f>
        <v>5034.8</v>
      </c>
      <c r="Z40" s="2"/>
      <c r="AA40" s="2"/>
      <c r="AB40" s="2">
        <f>ROUND(SUMIF(AA32:AA38,"=38799519",O32:O38),2)</f>
        <v>153385.37</v>
      </c>
      <c r="AC40" s="2">
        <f>ROUND(SUMIF(AA32:AA38,"=38799519",P32:P38),2)</f>
        <v>0</v>
      </c>
      <c r="AD40" s="2">
        <f>ROUND(SUMIF(AA32:AA38,"=38799519",Q32:Q38),2)</f>
        <v>103037.41</v>
      </c>
      <c r="AE40" s="2">
        <f>ROUND(SUMIF(AA32:AA38,"=38799519",R32:R38),2)</f>
        <v>58118.6</v>
      </c>
      <c r="AF40" s="2">
        <f>ROUND(SUMIF(AA32:AA38,"=38799519",S32:S38),2)</f>
        <v>50347.96</v>
      </c>
      <c r="AG40" s="2">
        <f>ROUND(SUMIF(AA32:AA38,"=38799519",T32:T38),2)</f>
        <v>0</v>
      </c>
      <c r="AH40" s="2">
        <f>SUMIF(AA32:AA38,"=38799519",U32:U38)</f>
        <v>245.78013999999999</v>
      </c>
      <c r="AI40" s="2">
        <f>SUMIF(AA32:AA38,"=38799519",V32:V38)</f>
        <v>0</v>
      </c>
      <c r="AJ40" s="2">
        <f>ROUND(SUMIF(AA32:AA38,"=38799519",W32:W38),2)</f>
        <v>0</v>
      </c>
      <c r="AK40" s="2">
        <f>ROUND(SUMIF(AA32:AA38,"=38799519",X32:X38),2)</f>
        <v>35243.58</v>
      </c>
      <c r="AL40" s="2">
        <f>ROUND(SUMIF(AA32:AA38,"=38799519",Y32:Y38),2)</f>
        <v>5034.8</v>
      </c>
      <c r="AM40" s="2"/>
      <c r="AN40" s="2"/>
      <c r="AO40" s="2">
        <f t="shared" ref="AO40:BD40" si="35">ROUND(BX40,2)</f>
        <v>0</v>
      </c>
      <c r="AP40" s="2">
        <f t="shared" si="35"/>
        <v>0</v>
      </c>
      <c r="AQ40" s="2">
        <f t="shared" si="35"/>
        <v>0</v>
      </c>
      <c r="AR40" s="2">
        <f t="shared" si="35"/>
        <v>256431.84</v>
      </c>
      <c r="AS40" s="2">
        <f t="shared" si="35"/>
        <v>0</v>
      </c>
      <c r="AT40" s="2">
        <f t="shared" si="35"/>
        <v>0</v>
      </c>
      <c r="AU40" s="2">
        <f t="shared" si="35"/>
        <v>256431.84</v>
      </c>
      <c r="AV40" s="2">
        <f t="shared" si="35"/>
        <v>0</v>
      </c>
      <c r="AW40" s="2">
        <f t="shared" si="35"/>
        <v>0</v>
      </c>
      <c r="AX40" s="2">
        <f t="shared" si="35"/>
        <v>0</v>
      </c>
      <c r="AY40" s="2">
        <f t="shared" si="35"/>
        <v>0</v>
      </c>
      <c r="AZ40" s="2">
        <f t="shared" si="35"/>
        <v>0</v>
      </c>
      <c r="BA40" s="2">
        <f t="shared" si="35"/>
        <v>0</v>
      </c>
      <c r="BB40" s="2">
        <f t="shared" si="35"/>
        <v>0</v>
      </c>
      <c r="BC40" s="2">
        <f t="shared" si="35"/>
        <v>0</v>
      </c>
      <c r="BD40" s="2">
        <f t="shared" si="35"/>
        <v>0</v>
      </c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>
        <f>ROUND(SUMIF(AA32:AA38,"=38799519",FQ32:FQ38),2)</f>
        <v>0</v>
      </c>
      <c r="BY40" s="2">
        <f>ROUND(SUMIF(AA32:AA38,"=38799519",FR32:FR38),2)</f>
        <v>0</v>
      </c>
      <c r="BZ40" s="2">
        <f>ROUND(SUMIF(AA32:AA38,"=38799519",GL32:GL38),2)</f>
        <v>0</v>
      </c>
      <c r="CA40" s="2">
        <f>ROUND(SUMIF(AA32:AA38,"=38799519",GM32:GM38),2)</f>
        <v>256431.84</v>
      </c>
      <c r="CB40" s="2">
        <f>ROUND(SUMIF(AA32:AA38,"=38799519",GN32:GN38),2)</f>
        <v>0</v>
      </c>
      <c r="CC40" s="2">
        <f>ROUND(SUMIF(AA32:AA38,"=38799519",GO32:GO38),2)</f>
        <v>0</v>
      </c>
      <c r="CD40" s="2">
        <f>ROUND(SUMIF(AA32:AA38,"=38799519",GP32:GP38),2)</f>
        <v>256431.84</v>
      </c>
      <c r="CE40" s="2">
        <f>AC40-BX40</f>
        <v>0</v>
      </c>
      <c r="CF40" s="2">
        <f>AC40-BY40</f>
        <v>0</v>
      </c>
      <c r="CG40" s="2">
        <f>BX40-BZ40</f>
        <v>0</v>
      </c>
      <c r="CH40" s="2">
        <f>AC40-BX40-BY40+BZ40</f>
        <v>0</v>
      </c>
      <c r="CI40" s="2">
        <f>BY40-BZ40</f>
        <v>0</v>
      </c>
      <c r="CJ40" s="2">
        <f>ROUND(SUMIF(AA32:AA38,"=38799519",GX32:GX38),2)</f>
        <v>0</v>
      </c>
      <c r="CK40" s="2">
        <f>ROUND(SUMIF(AA32:AA38,"=38799519",GY32:GY38),2)</f>
        <v>0</v>
      </c>
      <c r="CL40" s="2">
        <f>ROUND(SUMIF(AA32:AA38,"=38799519",GZ32:GZ38),2)</f>
        <v>0</v>
      </c>
      <c r="CM40" s="2">
        <f>ROUND(SUMIF(AA32:AA38,"=38799519",HD32:HD38),2)</f>
        <v>0</v>
      </c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>
        <v>0</v>
      </c>
    </row>
    <row r="42" spans="1:245" x14ac:dyDescent="0.2">
      <c r="A42" s="4">
        <v>50</v>
      </c>
      <c r="B42" s="4">
        <v>0</v>
      </c>
      <c r="C42" s="4">
        <v>0</v>
      </c>
      <c r="D42" s="4">
        <v>1</v>
      </c>
      <c r="E42" s="4">
        <v>201</v>
      </c>
      <c r="F42" s="4">
        <f>ROUND(Source!O40,O42)</f>
        <v>153385.37</v>
      </c>
      <c r="G42" s="4" t="s">
        <v>50</v>
      </c>
      <c r="H42" s="4" t="s">
        <v>51</v>
      </c>
      <c r="I42" s="4"/>
      <c r="J42" s="4"/>
      <c r="K42" s="4">
        <v>201</v>
      </c>
      <c r="L42" s="4">
        <v>1</v>
      </c>
      <c r="M42" s="4">
        <v>3</v>
      </c>
      <c r="N42" s="4" t="s">
        <v>3</v>
      </c>
      <c r="O42" s="4">
        <v>2</v>
      </c>
      <c r="P42" s="4"/>
      <c r="Q42" s="4"/>
      <c r="R42" s="4"/>
      <c r="S42" s="4"/>
      <c r="T42" s="4"/>
      <c r="U42" s="4"/>
      <c r="V42" s="4"/>
      <c r="W42" s="4"/>
    </row>
    <row r="43" spans="1:245" x14ac:dyDescent="0.2">
      <c r="A43" s="4">
        <v>50</v>
      </c>
      <c r="B43" s="4">
        <v>0</v>
      </c>
      <c r="C43" s="4">
        <v>0</v>
      </c>
      <c r="D43" s="4">
        <v>1</v>
      </c>
      <c r="E43" s="4">
        <v>202</v>
      </c>
      <c r="F43" s="4">
        <f>ROUND(Source!P40,O43)</f>
        <v>0</v>
      </c>
      <c r="G43" s="4" t="s">
        <v>52</v>
      </c>
      <c r="H43" s="4" t="s">
        <v>53</v>
      </c>
      <c r="I43" s="4"/>
      <c r="J43" s="4"/>
      <c r="K43" s="4">
        <v>202</v>
      </c>
      <c r="L43" s="4">
        <v>2</v>
      </c>
      <c r="M43" s="4">
        <v>3</v>
      </c>
      <c r="N43" s="4" t="s">
        <v>3</v>
      </c>
      <c r="O43" s="4">
        <v>2</v>
      </c>
      <c r="P43" s="4"/>
      <c r="Q43" s="4"/>
      <c r="R43" s="4"/>
      <c r="S43" s="4"/>
      <c r="T43" s="4"/>
      <c r="U43" s="4"/>
      <c r="V43" s="4"/>
      <c r="W43" s="4"/>
    </row>
    <row r="44" spans="1:245" x14ac:dyDescent="0.2">
      <c r="A44" s="4">
        <v>50</v>
      </c>
      <c r="B44" s="4">
        <v>0</v>
      </c>
      <c r="C44" s="4">
        <v>0</v>
      </c>
      <c r="D44" s="4">
        <v>1</v>
      </c>
      <c r="E44" s="4">
        <v>222</v>
      </c>
      <c r="F44" s="4">
        <f>ROUND(Source!AO40,O44)</f>
        <v>0</v>
      </c>
      <c r="G44" s="4" t="s">
        <v>54</v>
      </c>
      <c r="H44" s="4" t="s">
        <v>55</v>
      </c>
      <c r="I44" s="4"/>
      <c r="J44" s="4"/>
      <c r="K44" s="4">
        <v>222</v>
      </c>
      <c r="L44" s="4">
        <v>3</v>
      </c>
      <c r="M44" s="4">
        <v>3</v>
      </c>
      <c r="N44" s="4" t="s">
        <v>3</v>
      </c>
      <c r="O44" s="4">
        <v>2</v>
      </c>
      <c r="P44" s="4"/>
      <c r="Q44" s="4"/>
      <c r="R44" s="4"/>
      <c r="S44" s="4"/>
      <c r="T44" s="4"/>
      <c r="U44" s="4"/>
      <c r="V44" s="4"/>
      <c r="W44" s="4"/>
    </row>
    <row r="45" spans="1:245" x14ac:dyDescent="0.2">
      <c r="A45" s="4">
        <v>50</v>
      </c>
      <c r="B45" s="4">
        <v>0</v>
      </c>
      <c r="C45" s="4">
        <v>0</v>
      </c>
      <c r="D45" s="4">
        <v>1</v>
      </c>
      <c r="E45" s="4">
        <v>225</v>
      </c>
      <c r="F45" s="4">
        <f>ROUND(Source!AV40,O45)</f>
        <v>0</v>
      </c>
      <c r="G45" s="4" t="s">
        <v>56</v>
      </c>
      <c r="H45" s="4" t="s">
        <v>57</v>
      </c>
      <c r="I45" s="4"/>
      <c r="J45" s="4"/>
      <c r="K45" s="4">
        <v>225</v>
      </c>
      <c r="L45" s="4">
        <v>4</v>
      </c>
      <c r="M45" s="4">
        <v>3</v>
      </c>
      <c r="N45" s="4" t="s">
        <v>3</v>
      </c>
      <c r="O45" s="4">
        <v>2</v>
      </c>
      <c r="P45" s="4"/>
      <c r="Q45" s="4"/>
      <c r="R45" s="4"/>
      <c r="S45" s="4"/>
      <c r="T45" s="4"/>
      <c r="U45" s="4"/>
      <c r="V45" s="4"/>
      <c r="W45" s="4"/>
    </row>
    <row r="46" spans="1:245" x14ac:dyDescent="0.2">
      <c r="A46" s="4">
        <v>50</v>
      </c>
      <c r="B46" s="4">
        <v>0</v>
      </c>
      <c r="C46" s="4">
        <v>0</v>
      </c>
      <c r="D46" s="4">
        <v>1</v>
      </c>
      <c r="E46" s="4">
        <v>226</v>
      </c>
      <c r="F46" s="4">
        <f>ROUND(Source!AW40,O46)</f>
        <v>0</v>
      </c>
      <c r="G46" s="4" t="s">
        <v>58</v>
      </c>
      <c r="H46" s="4" t="s">
        <v>59</v>
      </c>
      <c r="I46" s="4"/>
      <c r="J46" s="4"/>
      <c r="K46" s="4">
        <v>226</v>
      </c>
      <c r="L46" s="4">
        <v>5</v>
      </c>
      <c r="M46" s="4">
        <v>3</v>
      </c>
      <c r="N46" s="4" t="s">
        <v>3</v>
      </c>
      <c r="O46" s="4">
        <v>2</v>
      </c>
      <c r="P46" s="4"/>
      <c r="Q46" s="4"/>
      <c r="R46" s="4"/>
      <c r="S46" s="4"/>
      <c r="T46" s="4"/>
      <c r="U46" s="4"/>
      <c r="V46" s="4"/>
      <c r="W46" s="4"/>
    </row>
    <row r="47" spans="1:245" x14ac:dyDescent="0.2">
      <c r="A47" s="4">
        <v>50</v>
      </c>
      <c r="B47" s="4">
        <v>0</v>
      </c>
      <c r="C47" s="4">
        <v>0</v>
      </c>
      <c r="D47" s="4">
        <v>1</v>
      </c>
      <c r="E47" s="4">
        <v>227</v>
      </c>
      <c r="F47" s="4">
        <f>ROUND(Source!AX40,O47)</f>
        <v>0</v>
      </c>
      <c r="G47" s="4" t="s">
        <v>60</v>
      </c>
      <c r="H47" s="4" t="s">
        <v>61</v>
      </c>
      <c r="I47" s="4"/>
      <c r="J47" s="4"/>
      <c r="K47" s="4">
        <v>227</v>
      </c>
      <c r="L47" s="4">
        <v>6</v>
      </c>
      <c r="M47" s="4">
        <v>3</v>
      </c>
      <c r="N47" s="4" t="s">
        <v>3</v>
      </c>
      <c r="O47" s="4">
        <v>2</v>
      </c>
      <c r="P47" s="4"/>
      <c r="Q47" s="4"/>
      <c r="R47" s="4"/>
      <c r="S47" s="4"/>
      <c r="T47" s="4"/>
      <c r="U47" s="4"/>
      <c r="V47" s="4"/>
      <c r="W47" s="4"/>
    </row>
    <row r="48" spans="1:245" x14ac:dyDescent="0.2">
      <c r="A48" s="4">
        <v>50</v>
      </c>
      <c r="B48" s="4">
        <v>0</v>
      </c>
      <c r="C48" s="4">
        <v>0</v>
      </c>
      <c r="D48" s="4">
        <v>1</v>
      </c>
      <c r="E48" s="4">
        <v>228</v>
      </c>
      <c r="F48" s="4">
        <f>ROUND(Source!AY40,O48)</f>
        <v>0</v>
      </c>
      <c r="G48" s="4" t="s">
        <v>62</v>
      </c>
      <c r="H48" s="4" t="s">
        <v>63</v>
      </c>
      <c r="I48" s="4"/>
      <c r="J48" s="4"/>
      <c r="K48" s="4">
        <v>228</v>
      </c>
      <c r="L48" s="4">
        <v>7</v>
      </c>
      <c r="M48" s="4">
        <v>3</v>
      </c>
      <c r="N48" s="4" t="s">
        <v>3</v>
      </c>
      <c r="O48" s="4">
        <v>2</v>
      </c>
      <c r="P48" s="4"/>
      <c r="Q48" s="4"/>
      <c r="R48" s="4"/>
      <c r="S48" s="4"/>
      <c r="T48" s="4"/>
      <c r="U48" s="4"/>
      <c r="V48" s="4"/>
      <c r="W48" s="4"/>
    </row>
    <row r="49" spans="1:23" x14ac:dyDescent="0.2">
      <c r="A49" s="4">
        <v>50</v>
      </c>
      <c r="B49" s="4">
        <v>0</v>
      </c>
      <c r="C49" s="4">
        <v>0</v>
      </c>
      <c r="D49" s="4">
        <v>1</v>
      </c>
      <c r="E49" s="4">
        <v>216</v>
      </c>
      <c r="F49" s="4">
        <f>ROUND(Source!AP40,O49)</f>
        <v>0</v>
      </c>
      <c r="G49" s="4" t="s">
        <v>64</v>
      </c>
      <c r="H49" s="4" t="s">
        <v>65</v>
      </c>
      <c r="I49" s="4"/>
      <c r="J49" s="4"/>
      <c r="K49" s="4">
        <v>216</v>
      </c>
      <c r="L49" s="4">
        <v>8</v>
      </c>
      <c r="M49" s="4">
        <v>3</v>
      </c>
      <c r="N49" s="4" t="s">
        <v>3</v>
      </c>
      <c r="O49" s="4">
        <v>2</v>
      </c>
      <c r="P49" s="4"/>
      <c r="Q49" s="4"/>
      <c r="R49" s="4"/>
      <c r="S49" s="4"/>
      <c r="T49" s="4"/>
      <c r="U49" s="4"/>
      <c r="V49" s="4"/>
      <c r="W49" s="4"/>
    </row>
    <row r="50" spans="1:23" x14ac:dyDescent="0.2">
      <c r="A50" s="4">
        <v>50</v>
      </c>
      <c r="B50" s="4">
        <v>0</v>
      </c>
      <c r="C50" s="4">
        <v>0</v>
      </c>
      <c r="D50" s="4">
        <v>1</v>
      </c>
      <c r="E50" s="4">
        <v>223</v>
      </c>
      <c r="F50" s="4">
        <f>ROUND(Source!AQ40,O50)</f>
        <v>0</v>
      </c>
      <c r="G50" s="4" t="s">
        <v>66</v>
      </c>
      <c r="H50" s="4" t="s">
        <v>67</v>
      </c>
      <c r="I50" s="4"/>
      <c r="J50" s="4"/>
      <c r="K50" s="4">
        <v>223</v>
      </c>
      <c r="L50" s="4">
        <v>9</v>
      </c>
      <c r="M50" s="4">
        <v>3</v>
      </c>
      <c r="N50" s="4" t="s">
        <v>3</v>
      </c>
      <c r="O50" s="4">
        <v>2</v>
      </c>
      <c r="P50" s="4"/>
      <c r="Q50" s="4"/>
      <c r="R50" s="4"/>
      <c r="S50" s="4"/>
      <c r="T50" s="4"/>
      <c r="U50" s="4"/>
      <c r="V50" s="4"/>
      <c r="W50" s="4"/>
    </row>
    <row r="51" spans="1:23" x14ac:dyDescent="0.2">
      <c r="A51" s="4">
        <v>50</v>
      </c>
      <c r="B51" s="4">
        <v>0</v>
      </c>
      <c r="C51" s="4">
        <v>0</v>
      </c>
      <c r="D51" s="4">
        <v>1</v>
      </c>
      <c r="E51" s="4">
        <v>229</v>
      </c>
      <c r="F51" s="4">
        <f>ROUND(Source!AZ40,O51)</f>
        <v>0</v>
      </c>
      <c r="G51" s="4" t="s">
        <v>68</v>
      </c>
      <c r="H51" s="4" t="s">
        <v>69</v>
      </c>
      <c r="I51" s="4"/>
      <c r="J51" s="4"/>
      <c r="K51" s="4">
        <v>229</v>
      </c>
      <c r="L51" s="4">
        <v>10</v>
      </c>
      <c r="M51" s="4">
        <v>3</v>
      </c>
      <c r="N51" s="4" t="s">
        <v>3</v>
      </c>
      <c r="O51" s="4">
        <v>2</v>
      </c>
      <c r="P51" s="4"/>
      <c r="Q51" s="4"/>
      <c r="R51" s="4"/>
      <c r="S51" s="4"/>
      <c r="T51" s="4"/>
      <c r="U51" s="4"/>
      <c r="V51" s="4"/>
      <c r="W51" s="4"/>
    </row>
    <row r="52" spans="1:23" x14ac:dyDescent="0.2">
      <c r="A52" s="4">
        <v>50</v>
      </c>
      <c r="B52" s="4">
        <v>0</v>
      </c>
      <c r="C52" s="4">
        <v>0</v>
      </c>
      <c r="D52" s="4">
        <v>1</v>
      </c>
      <c r="E52" s="4">
        <v>203</v>
      </c>
      <c r="F52" s="4">
        <f>ROUND(Source!Q40,O52)</f>
        <v>103037.41</v>
      </c>
      <c r="G52" s="4" t="s">
        <v>70</v>
      </c>
      <c r="H52" s="4" t="s">
        <v>71</v>
      </c>
      <c r="I52" s="4"/>
      <c r="J52" s="4"/>
      <c r="K52" s="4">
        <v>203</v>
      </c>
      <c r="L52" s="4">
        <v>11</v>
      </c>
      <c r="M52" s="4">
        <v>3</v>
      </c>
      <c r="N52" s="4" t="s">
        <v>3</v>
      </c>
      <c r="O52" s="4">
        <v>2</v>
      </c>
      <c r="P52" s="4"/>
      <c r="Q52" s="4"/>
      <c r="R52" s="4"/>
      <c r="S52" s="4"/>
      <c r="T52" s="4"/>
      <c r="U52" s="4"/>
      <c r="V52" s="4"/>
      <c r="W52" s="4"/>
    </row>
    <row r="53" spans="1:23" x14ac:dyDescent="0.2">
      <c r="A53" s="4">
        <v>50</v>
      </c>
      <c r="B53" s="4">
        <v>0</v>
      </c>
      <c r="C53" s="4">
        <v>0</v>
      </c>
      <c r="D53" s="4">
        <v>1</v>
      </c>
      <c r="E53" s="4">
        <v>231</v>
      </c>
      <c r="F53" s="4">
        <f>ROUND(Source!BB40,O53)</f>
        <v>0</v>
      </c>
      <c r="G53" s="4" t="s">
        <v>72</v>
      </c>
      <c r="H53" s="4" t="s">
        <v>73</v>
      </c>
      <c r="I53" s="4"/>
      <c r="J53" s="4"/>
      <c r="K53" s="4">
        <v>231</v>
      </c>
      <c r="L53" s="4">
        <v>12</v>
      </c>
      <c r="M53" s="4">
        <v>3</v>
      </c>
      <c r="N53" s="4" t="s">
        <v>3</v>
      </c>
      <c r="O53" s="4">
        <v>2</v>
      </c>
      <c r="P53" s="4"/>
      <c r="Q53" s="4"/>
      <c r="R53" s="4"/>
      <c r="S53" s="4"/>
      <c r="T53" s="4"/>
      <c r="U53" s="4"/>
      <c r="V53" s="4"/>
      <c r="W53" s="4"/>
    </row>
    <row r="54" spans="1:23" x14ac:dyDescent="0.2">
      <c r="A54" s="4">
        <v>50</v>
      </c>
      <c r="B54" s="4">
        <v>0</v>
      </c>
      <c r="C54" s="4">
        <v>0</v>
      </c>
      <c r="D54" s="4">
        <v>1</v>
      </c>
      <c r="E54" s="4">
        <v>204</v>
      </c>
      <c r="F54" s="4">
        <f>ROUND(Source!R40,O54)</f>
        <v>58118.6</v>
      </c>
      <c r="G54" s="4" t="s">
        <v>74</v>
      </c>
      <c r="H54" s="4" t="s">
        <v>75</v>
      </c>
      <c r="I54" s="4"/>
      <c r="J54" s="4"/>
      <c r="K54" s="4">
        <v>204</v>
      </c>
      <c r="L54" s="4">
        <v>13</v>
      </c>
      <c r="M54" s="4">
        <v>3</v>
      </c>
      <c r="N54" s="4" t="s">
        <v>3</v>
      </c>
      <c r="O54" s="4">
        <v>2</v>
      </c>
      <c r="P54" s="4"/>
      <c r="Q54" s="4"/>
      <c r="R54" s="4"/>
      <c r="S54" s="4"/>
      <c r="T54" s="4"/>
      <c r="U54" s="4"/>
      <c r="V54" s="4"/>
      <c r="W54" s="4"/>
    </row>
    <row r="55" spans="1:23" x14ac:dyDescent="0.2">
      <c r="A55" s="4">
        <v>50</v>
      </c>
      <c r="B55" s="4">
        <v>0</v>
      </c>
      <c r="C55" s="4">
        <v>0</v>
      </c>
      <c r="D55" s="4">
        <v>1</v>
      </c>
      <c r="E55" s="4">
        <v>205</v>
      </c>
      <c r="F55" s="4">
        <f>ROUND(Source!S40,O55)</f>
        <v>50347.96</v>
      </c>
      <c r="G55" s="4" t="s">
        <v>76</v>
      </c>
      <c r="H55" s="4" t="s">
        <v>77</v>
      </c>
      <c r="I55" s="4"/>
      <c r="J55" s="4"/>
      <c r="K55" s="4">
        <v>205</v>
      </c>
      <c r="L55" s="4">
        <v>14</v>
      </c>
      <c r="M55" s="4">
        <v>3</v>
      </c>
      <c r="N55" s="4" t="s">
        <v>3</v>
      </c>
      <c r="O55" s="4">
        <v>2</v>
      </c>
      <c r="P55" s="4"/>
      <c r="Q55" s="4"/>
      <c r="R55" s="4"/>
      <c r="S55" s="4"/>
      <c r="T55" s="4"/>
      <c r="U55" s="4"/>
      <c r="V55" s="4"/>
      <c r="W55" s="4"/>
    </row>
    <row r="56" spans="1:23" x14ac:dyDescent="0.2">
      <c r="A56" s="4">
        <v>50</v>
      </c>
      <c r="B56" s="4">
        <v>0</v>
      </c>
      <c r="C56" s="4">
        <v>0</v>
      </c>
      <c r="D56" s="4">
        <v>1</v>
      </c>
      <c r="E56" s="4">
        <v>232</v>
      </c>
      <c r="F56" s="4">
        <f>ROUND(Source!BC40,O56)</f>
        <v>0</v>
      </c>
      <c r="G56" s="4" t="s">
        <v>78</v>
      </c>
      <c r="H56" s="4" t="s">
        <v>79</v>
      </c>
      <c r="I56" s="4"/>
      <c r="J56" s="4"/>
      <c r="K56" s="4">
        <v>232</v>
      </c>
      <c r="L56" s="4">
        <v>15</v>
      </c>
      <c r="M56" s="4">
        <v>3</v>
      </c>
      <c r="N56" s="4" t="s">
        <v>3</v>
      </c>
      <c r="O56" s="4">
        <v>2</v>
      </c>
      <c r="P56" s="4"/>
      <c r="Q56" s="4"/>
      <c r="R56" s="4"/>
      <c r="S56" s="4"/>
      <c r="T56" s="4"/>
      <c r="U56" s="4"/>
      <c r="V56" s="4"/>
      <c r="W56" s="4"/>
    </row>
    <row r="57" spans="1:23" x14ac:dyDescent="0.2">
      <c r="A57" s="4">
        <v>50</v>
      </c>
      <c r="B57" s="4">
        <v>0</v>
      </c>
      <c r="C57" s="4">
        <v>0</v>
      </c>
      <c r="D57" s="4">
        <v>1</v>
      </c>
      <c r="E57" s="4">
        <v>214</v>
      </c>
      <c r="F57" s="4">
        <f>ROUND(Source!AS40,O57)</f>
        <v>0</v>
      </c>
      <c r="G57" s="4" t="s">
        <v>80</v>
      </c>
      <c r="H57" s="4" t="s">
        <v>81</v>
      </c>
      <c r="I57" s="4"/>
      <c r="J57" s="4"/>
      <c r="K57" s="4">
        <v>214</v>
      </c>
      <c r="L57" s="4">
        <v>16</v>
      </c>
      <c r="M57" s="4">
        <v>3</v>
      </c>
      <c r="N57" s="4" t="s">
        <v>3</v>
      </c>
      <c r="O57" s="4">
        <v>2</v>
      </c>
      <c r="P57" s="4"/>
      <c r="Q57" s="4"/>
      <c r="R57" s="4"/>
      <c r="S57" s="4"/>
      <c r="T57" s="4"/>
      <c r="U57" s="4"/>
      <c r="V57" s="4"/>
      <c r="W57" s="4"/>
    </row>
    <row r="58" spans="1:23" x14ac:dyDescent="0.2">
      <c r="A58" s="4">
        <v>50</v>
      </c>
      <c r="B58" s="4">
        <v>0</v>
      </c>
      <c r="C58" s="4">
        <v>0</v>
      </c>
      <c r="D58" s="4">
        <v>1</v>
      </c>
      <c r="E58" s="4">
        <v>215</v>
      </c>
      <c r="F58" s="4">
        <f>ROUND(Source!AT40,O58)</f>
        <v>0</v>
      </c>
      <c r="G58" s="4" t="s">
        <v>82</v>
      </c>
      <c r="H58" s="4" t="s">
        <v>83</v>
      </c>
      <c r="I58" s="4"/>
      <c r="J58" s="4"/>
      <c r="K58" s="4">
        <v>215</v>
      </c>
      <c r="L58" s="4">
        <v>17</v>
      </c>
      <c r="M58" s="4">
        <v>3</v>
      </c>
      <c r="N58" s="4" t="s">
        <v>3</v>
      </c>
      <c r="O58" s="4">
        <v>2</v>
      </c>
      <c r="P58" s="4"/>
      <c r="Q58" s="4"/>
      <c r="R58" s="4"/>
      <c r="S58" s="4"/>
      <c r="T58" s="4"/>
      <c r="U58" s="4"/>
      <c r="V58" s="4"/>
      <c r="W58" s="4"/>
    </row>
    <row r="59" spans="1:23" x14ac:dyDescent="0.2">
      <c r="A59" s="4">
        <v>50</v>
      </c>
      <c r="B59" s="4">
        <v>0</v>
      </c>
      <c r="C59" s="4">
        <v>0</v>
      </c>
      <c r="D59" s="4">
        <v>1</v>
      </c>
      <c r="E59" s="4">
        <v>217</v>
      </c>
      <c r="F59" s="4">
        <f>ROUND(Source!AU40,O59)</f>
        <v>256431.84</v>
      </c>
      <c r="G59" s="4" t="s">
        <v>84</v>
      </c>
      <c r="H59" s="4" t="s">
        <v>85</v>
      </c>
      <c r="I59" s="4"/>
      <c r="J59" s="4"/>
      <c r="K59" s="4">
        <v>217</v>
      </c>
      <c r="L59" s="4">
        <v>18</v>
      </c>
      <c r="M59" s="4">
        <v>3</v>
      </c>
      <c r="N59" s="4" t="s">
        <v>3</v>
      </c>
      <c r="O59" s="4">
        <v>2</v>
      </c>
      <c r="P59" s="4"/>
      <c r="Q59" s="4"/>
      <c r="R59" s="4"/>
      <c r="S59" s="4"/>
      <c r="T59" s="4"/>
      <c r="U59" s="4"/>
      <c r="V59" s="4"/>
      <c r="W59" s="4"/>
    </row>
    <row r="60" spans="1:23" x14ac:dyDescent="0.2">
      <c r="A60" s="4">
        <v>50</v>
      </c>
      <c r="B60" s="4">
        <v>0</v>
      </c>
      <c r="C60" s="4">
        <v>0</v>
      </c>
      <c r="D60" s="4">
        <v>1</v>
      </c>
      <c r="E60" s="4">
        <v>230</v>
      </c>
      <c r="F60" s="4">
        <f>ROUND(Source!BA40,O60)</f>
        <v>0</v>
      </c>
      <c r="G60" s="4" t="s">
        <v>86</v>
      </c>
      <c r="H60" s="4" t="s">
        <v>87</v>
      </c>
      <c r="I60" s="4"/>
      <c r="J60" s="4"/>
      <c r="K60" s="4">
        <v>230</v>
      </c>
      <c r="L60" s="4">
        <v>19</v>
      </c>
      <c r="M60" s="4">
        <v>3</v>
      </c>
      <c r="N60" s="4" t="s">
        <v>3</v>
      </c>
      <c r="O60" s="4">
        <v>2</v>
      </c>
      <c r="P60" s="4"/>
      <c r="Q60" s="4"/>
      <c r="R60" s="4"/>
      <c r="S60" s="4"/>
      <c r="T60" s="4"/>
      <c r="U60" s="4"/>
      <c r="V60" s="4"/>
      <c r="W60" s="4"/>
    </row>
    <row r="61" spans="1:23" x14ac:dyDescent="0.2">
      <c r="A61" s="4">
        <v>50</v>
      </c>
      <c r="B61" s="4">
        <v>0</v>
      </c>
      <c r="C61" s="4">
        <v>0</v>
      </c>
      <c r="D61" s="4">
        <v>1</v>
      </c>
      <c r="E61" s="4">
        <v>206</v>
      </c>
      <c r="F61" s="4">
        <f>ROUND(Source!T40,O61)</f>
        <v>0</v>
      </c>
      <c r="G61" s="4" t="s">
        <v>88</v>
      </c>
      <c r="H61" s="4" t="s">
        <v>89</v>
      </c>
      <c r="I61" s="4"/>
      <c r="J61" s="4"/>
      <c r="K61" s="4">
        <v>206</v>
      </c>
      <c r="L61" s="4">
        <v>20</v>
      </c>
      <c r="M61" s="4">
        <v>3</v>
      </c>
      <c r="N61" s="4" t="s">
        <v>3</v>
      </c>
      <c r="O61" s="4">
        <v>2</v>
      </c>
      <c r="P61" s="4"/>
      <c r="Q61" s="4"/>
      <c r="R61" s="4"/>
      <c r="S61" s="4"/>
      <c r="T61" s="4"/>
      <c r="U61" s="4"/>
      <c r="V61" s="4"/>
      <c r="W61" s="4"/>
    </row>
    <row r="62" spans="1:23" x14ac:dyDescent="0.2">
      <c r="A62" s="4">
        <v>50</v>
      </c>
      <c r="B62" s="4">
        <v>0</v>
      </c>
      <c r="C62" s="4">
        <v>0</v>
      </c>
      <c r="D62" s="4">
        <v>1</v>
      </c>
      <c r="E62" s="4">
        <v>207</v>
      </c>
      <c r="F62" s="4">
        <f>Source!U40</f>
        <v>245.78013999999999</v>
      </c>
      <c r="G62" s="4" t="s">
        <v>90</v>
      </c>
      <c r="H62" s="4" t="s">
        <v>91</v>
      </c>
      <c r="I62" s="4"/>
      <c r="J62" s="4"/>
      <c r="K62" s="4">
        <v>207</v>
      </c>
      <c r="L62" s="4">
        <v>21</v>
      </c>
      <c r="M62" s="4">
        <v>3</v>
      </c>
      <c r="N62" s="4" t="s">
        <v>3</v>
      </c>
      <c r="O62" s="4">
        <v>-1</v>
      </c>
      <c r="P62" s="4"/>
      <c r="Q62" s="4"/>
      <c r="R62" s="4"/>
      <c r="S62" s="4"/>
      <c r="T62" s="4"/>
      <c r="U62" s="4"/>
      <c r="V62" s="4"/>
      <c r="W62" s="4"/>
    </row>
    <row r="63" spans="1:23" x14ac:dyDescent="0.2">
      <c r="A63" s="4">
        <v>50</v>
      </c>
      <c r="B63" s="4">
        <v>0</v>
      </c>
      <c r="C63" s="4">
        <v>0</v>
      </c>
      <c r="D63" s="4">
        <v>1</v>
      </c>
      <c r="E63" s="4">
        <v>208</v>
      </c>
      <c r="F63" s="4">
        <f>Source!V40</f>
        <v>0</v>
      </c>
      <c r="G63" s="4" t="s">
        <v>92</v>
      </c>
      <c r="H63" s="4" t="s">
        <v>93</v>
      </c>
      <c r="I63" s="4"/>
      <c r="J63" s="4"/>
      <c r="K63" s="4">
        <v>208</v>
      </c>
      <c r="L63" s="4">
        <v>22</v>
      </c>
      <c r="M63" s="4">
        <v>3</v>
      </c>
      <c r="N63" s="4" t="s">
        <v>3</v>
      </c>
      <c r="O63" s="4">
        <v>-1</v>
      </c>
      <c r="P63" s="4"/>
      <c r="Q63" s="4"/>
      <c r="R63" s="4"/>
      <c r="S63" s="4"/>
      <c r="T63" s="4"/>
      <c r="U63" s="4"/>
      <c r="V63" s="4"/>
      <c r="W63" s="4"/>
    </row>
    <row r="64" spans="1:23" x14ac:dyDescent="0.2">
      <c r="A64" s="4">
        <v>50</v>
      </c>
      <c r="B64" s="4">
        <v>0</v>
      </c>
      <c r="C64" s="4">
        <v>0</v>
      </c>
      <c r="D64" s="4">
        <v>1</v>
      </c>
      <c r="E64" s="4">
        <v>209</v>
      </c>
      <c r="F64" s="4">
        <f>ROUND(Source!W40,O64)</f>
        <v>0</v>
      </c>
      <c r="G64" s="4" t="s">
        <v>94</v>
      </c>
      <c r="H64" s="4" t="s">
        <v>95</v>
      </c>
      <c r="I64" s="4"/>
      <c r="J64" s="4"/>
      <c r="K64" s="4">
        <v>209</v>
      </c>
      <c r="L64" s="4">
        <v>23</v>
      </c>
      <c r="M64" s="4">
        <v>3</v>
      </c>
      <c r="N64" s="4" t="s">
        <v>3</v>
      </c>
      <c r="O64" s="4">
        <v>2</v>
      </c>
      <c r="P64" s="4"/>
      <c r="Q64" s="4"/>
      <c r="R64" s="4"/>
      <c r="S64" s="4"/>
      <c r="T64" s="4"/>
      <c r="U64" s="4"/>
      <c r="V64" s="4"/>
      <c r="W64" s="4"/>
    </row>
    <row r="65" spans="1:245" x14ac:dyDescent="0.2">
      <c r="A65" s="4">
        <v>50</v>
      </c>
      <c r="B65" s="4">
        <v>0</v>
      </c>
      <c r="C65" s="4">
        <v>0</v>
      </c>
      <c r="D65" s="4">
        <v>1</v>
      </c>
      <c r="E65" s="4">
        <v>233</v>
      </c>
      <c r="F65" s="4">
        <f>ROUND(Source!BD40,O65)</f>
        <v>0</v>
      </c>
      <c r="G65" s="4" t="s">
        <v>96</v>
      </c>
      <c r="H65" s="4" t="s">
        <v>97</v>
      </c>
      <c r="I65" s="4"/>
      <c r="J65" s="4"/>
      <c r="K65" s="4">
        <v>233</v>
      </c>
      <c r="L65" s="4">
        <v>24</v>
      </c>
      <c r="M65" s="4">
        <v>3</v>
      </c>
      <c r="N65" s="4" t="s">
        <v>3</v>
      </c>
      <c r="O65" s="4">
        <v>2</v>
      </c>
      <c r="P65" s="4"/>
      <c r="Q65" s="4"/>
      <c r="R65" s="4"/>
      <c r="S65" s="4"/>
      <c r="T65" s="4"/>
      <c r="U65" s="4"/>
      <c r="V65" s="4"/>
      <c r="W65" s="4"/>
    </row>
    <row r="66" spans="1:245" x14ac:dyDescent="0.2">
      <c r="A66" s="4">
        <v>50</v>
      </c>
      <c r="B66" s="4">
        <v>0</v>
      </c>
      <c r="C66" s="4">
        <v>0</v>
      </c>
      <c r="D66" s="4">
        <v>1</v>
      </c>
      <c r="E66" s="4">
        <v>210</v>
      </c>
      <c r="F66" s="4">
        <f>ROUND(Source!X40,O66)</f>
        <v>35243.58</v>
      </c>
      <c r="G66" s="4" t="s">
        <v>98</v>
      </c>
      <c r="H66" s="4" t="s">
        <v>99</v>
      </c>
      <c r="I66" s="4"/>
      <c r="J66" s="4"/>
      <c r="K66" s="4">
        <v>210</v>
      </c>
      <c r="L66" s="4">
        <v>25</v>
      </c>
      <c r="M66" s="4">
        <v>3</v>
      </c>
      <c r="N66" s="4" t="s">
        <v>3</v>
      </c>
      <c r="O66" s="4">
        <v>2</v>
      </c>
      <c r="P66" s="4"/>
      <c r="Q66" s="4"/>
      <c r="R66" s="4"/>
      <c r="S66" s="4"/>
      <c r="T66" s="4"/>
      <c r="U66" s="4"/>
      <c r="V66" s="4"/>
      <c r="W66" s="4"/>
    </row>
    <row r="67" spans="1:245" x14ac:dyDescent="0.2">
      <c r="A67" s="4">
        <v>50</v>
      </c>
      <c r="B67" s="4">
        <v>0</v>
      </c>
      <c r="C67" s="4">
        <v>0</v>
      </c>
      <c r="D67" s="4">
        <v>1</v>
      </c>
      <c r="E67" s="4">
        <v>211</v>
      </c>
      <c r="F67" s="4">
        <f>ROUND(Source!Y40,O67)</f>
        <v>5034.8</v>
      </c>
      <c r="G67" s="4" t="s">
        <v>100</v>
      </c>
      <c r="H67" s="4" t="s">
        <v>101</v>
      </c>
      <c r="I67" s="4"/>
      <c r="J67" s="4"/>
      <c r="K67" s="4">
        <v>211</v>
      </c>
      <c r="L67" s="4">
        <v>26</v>
      </c>
      <c r="M67" s="4">
        <v>3</v>
      </c>
      <c r="N67" s="4" t="s">
        <v>3</v>
      </c>
      <c r="O67" s="4">
        <v>2</v>
      </c>
      <c r="P67" s="4"/>
      <c r="Q67" s="4"/>
      <c r="R67" s="4"/>
      <c r="S67" s="4"/>
      <c r="T67" s="4"/>
      <c r="U67" s="4"/>
      <c r="V67" s="4"/>
      <c r="W67" s="4"/>
    </row>
    <row r="68" spans="1:245" x14ac:dyDescent="0.2">
      <c r="A68" s="4">
        <v>50</v>
      </c>
      <c r="B68" s="4">
        <v>0</v>
      </c>
      <c r="C68" s="4">
        <v>0</v>
      </c>
      <c r="D68" s="4">
        <v>1</v>
      </c>
      <c r="E68" s="4">
        <v>224</v>
      </c>
      <c r="F68" s="4">
        <f>ROUND(Source!AR40,O68)</f>
        <v>256431.84</v>
      </c>
      <c r="G68" s="4" t="s">
        <v>102</v>
      </c>
      <c r="H68" s="4" t="s">
        <v>103</v>
      </c>
      <c r="I68" s="4"/>
      <c r="J68" s="4"/>
      <c r="K68" s="4">
        <v>224</v>
      </c>
      <c r="L68" s="4">
        <v>27</v>
      </c>
      <c r="M68" s="4">
        <v>3</v>
      </c>
      <c r="N68" s="4" t="s">
        <v>3</v>
      </c>
      <c r="O68" s="4">
        <v>2</v>
      </c>
      <c r="P68" s="4"/>
      <c r="Q68" s="4"/>
      <c r="R68" s="4"/>
      <c r="S68" s="4"/>
      <c r="T68" s="4"/>
      <c r="U68" s="4"/>
      <c r="V68" s="4"/>
      <c r="W68" s="4"/>
    </row>
    <row r="70" spans="1:245" x14ac:dyDescent="0.2">
      <c r="A70" s="1">
        <v>5</v>
      </c>
      <c r="B70" s="1">
        <v>1</v>
      </c>
      <c r="C70" s="1"/>
      <c r="D70" s="1">
        <f>ROW(A94)</f>
        <v>94</v>
      </c>
      <c r="E70" s="1"/>
      <c r="F70" s="1" t="s">
        <v>14</v>
      </c>
      <c r="G70" s="1" t="s">
        <v>104</v>
      </c>
      <c r="H70" s="1" t="s">
        <v>3</v>
      </c>
      <c r="I70" s="1">
        <v>0</v>
      </c>
      <c r="J70" s="1"/>
      <c r="K70" s="1">
        <v>0</v>
      </c>
      <c r="L70" s="1"/>
      <c r="M70" s="1"/>
      <c r="N70" s="1"/>
      <c r="O70" s="1"/>
      <c r="P70" s="1"/>
      <c r="Q70" s="1"/>
      <c r="R70" s="1"/>
      <c r="S70" s="1"/>
      <c r="T70" s="1"/>
      <c r="U70" s="1" t="s">
        <v>3</v>
      </c>
      <c r="V70" s="1">
        <v>0</v>
      </c>
      <c r="W70" s="1"/>
      <c r="X70" s="1"/>
      <c r="Y70" s="1"/>
      <c r="Z70" s="1"/>
      <c r="AA70" s="1"/>
      <c r="AB70" s="1" t="s">
        <v>3</v>
      </c>
      <c r="AC70" s="1" t="s">
        <v>3</v>
      </c>
      <c r="AD70" s="1" t="s">
        <v>3</v>
      </c>
      <c r="AE70" s="1" t="s">
        <v>3</v>
      </c>
      <c r="AF70" s="1" t="s">
        <v>3</v>
      </c>
      <c r="AG70" s="1" t="s">
        <v>3</v>
      </c>
      <c r="AH70" s="1"/>
      <c r="AI70" s="1"/>
      <c r="AJ70" s="1"/>
      <c r="AK70" s="1"/>
      <c r="AL70" s="1"/>
      <c r="AM70" s="1"/>
      <c r="AN70" s="1"/>
      <c r="AO70" s="1"/>
      <c r="AP70" s="1" t="s">
        <v>3</v>
      </c>
      <c r="AQ70" s="1" t="s">
        <v>3</v>
      </c>
      <c r="AR70" s="1" t="s">
        <v>3</v>
      </c>
      <c r="AS70" s="1"/>
      <c r="AT70" s="1"/>
      <c r="AU70" s="1"/>
      <c r="AV70" s="1"/>
      <c r="AW70" s="1"/>
      <c r="AX70" s="1"/>
      <c r="AY70" s="1"/>
      <c r="AZ70" s="1" t="s">
        <v>3</v>
      </c>
      <c r="BA70" s="1"/>
      <c r="BB70" s="1" t="s">
        <v>3</v>
      </c>
      <c r="BC70" s="1" t="s">
        <v>3</v>
      </c>
      <c r="BD70" s="1" t="s">
        <v>3</v>
      </c>
      <c r="BE70" s="1" t="s">
        <v>3</v>
      </c>
      <c r="BF70" s="1" t="s">
        <v>3</v>
      </c>
      <c r="BG70" s="1" t="s">
        <v>3</v>
      </c>
      <c r="BH70" s="1" t="s">
        <v>3</v>
      </c>
      <c r="BI70" s="1" t="s">
        <v>3</v>
      </c>
      <c r="BJ70" s="1" t="s">
        <v>3</v>
      </c>
      <c r="BK70" s="1" t="s">
        <v>3</v>
      </c>
      <c r="BL70" s="1" t="s">
        <v>3</v>
      </c>
      <c r="BM70" s="1" t="s">
        <v>3</v>
      </c>
      <c r="BN70" s="1" t="s">
        <v>3</v>
      </c>
      <c r="BO70" s="1" t="s">
        <v>3</v>
      </c>
      <c r="BP70" s="1" t="s">
        <v>3</v>
      </c>
      <c r="BQ70" s="1"/>
      <c r="BR70" s="1"/>
      <c r="BS70" s="1"/>
      <c r="BT70" s="1"/>
      <c r="BU70" s="1"/>
      <c r="BV70" s="1"/>
      <c r="BW70" s="1"/>
      <c r="BX70" s="1">
        <v>0</v>
      </c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>
        <v>0</v>
      </c>
    </row>
    <row r="72" spans="1:245" x14ac:dyDescent="0.2">
      <c r="A72" s="2">
        <v>52</v>
      </c>
      <c r="B72" s="2">
        <f t="shared" ref="B72:G72" si="36">B94</f>
        <v>1</v>
      </c>
      <c r="C72" s="2">
        <f t="shared" si="36"/>
        <v>5</v>
      </c>
      <c r="D72" s="2">
        <f t="shared" si="36"/>
        <v>70</v>
      </c>
      <c r="E72" s="2">
        <f t="shared" si="36"/>
        <v>0</v>
      </c>
      <c r="F72" s="2" t="str">
        <f t="shared" si="36"/>
        <v>Новый подраздел</v>
      </c>
      <c r="G72" s="2" t="str">
        <f t="shared" si="36"/>
        <v>Строительные работы</v>
      </c>
      <c r="H72" s="2"/>
      <c r="I72" s="2"/>
      <c r="J72" s="2"/>
      <c r="K72" s="2"/>
      <c r="L72" s="2"/>
      <c r="M72" s="2"/>
      <c r="N72" s="2"/>
      <c r="O72" s="2">
        <f t="shared" ref="O72:AT72" si="37">O94</f>
        <v>670992.76</v>
      </c>
      <c r="P72" s="2">
        <f t="shared" si="37"/>
        <v>455289.22</v>
      </c>
      <c r="Q72" s="2">
        <f t="shared" si="37"/>
        <v>31529.07</v>
      </c>
      <c r="R72" s="2">
        <f t="shared" si="37"/>
        <v>17218.05</v>
      </c>
      <c r="S72" s="2">
        <f t="shared" si="37"/>
        <v>184174.47</v>
      </c>
      <c r="T72" s="2">
        <f t="shared" si="37"/>
        <v>0</v>
      </c>
      <c r="U72" s="2">
        <f t="shared" si="37"/>
        <v>788.52582259999997</v>
      </c>
      <c r="V72" s="2">
        <f t="shared" si="37"/>
        <v>0</v>
      </c>
      <c r="W72" s="2">
        <f t="shared" si="37"/>
        <v>0</v>
      </c>
      <c r="X72" s="2">
        <f t="shared" si="37"/>
        <v>128922.11</v>
      </c>
      <c r="Y72" s="2">
        <f t="shared" si="37"/>
        <v>18417.46</v>
      </c>
      <c r="Z72" s="2">
        <f t="shared" si="37"/>
        <v>0</v>
      </c>
      <c r="AA72" s="2">
        <f t="shared" si="37"/>
        <v>0</v>
      </c>
      <c r="AB72" s="2">
        <f t="shared" si="37"/>
        <v>670992.76</v>
      </c>
      <c r="AC72" s="2">
        <f t="shared" si="37"/>
        <v>455289.22</v>
      </c>
      <c r="AD72" s="2">
        <f t="shared" si="37"/>
        <v>31529.07</v>
      </c>
      <c r="AE72" s="2">
        <f t="shared" si="37"/>
        <v>17218.05</v>
      </c>
      <c r="AF72" s="2">
        <f t="shared" si="37"/>
        <v>184174.47</v>
      </c>
      <c r="AG72" s="2">
        <f t="shared" si="37"/>
        <v>0</v>
      </c>
      <c r="AH72" s="2">
        <f t="shared" si="37"/>
        <v>788.52582259999997</v>
      </c>
      <c r="AI72" s="2">
        <f t="shared" si="37"/>
        <v>0</v>
      </c>
      <c r="AJ72" s="2">
        <f t="shared" si="37"/>
        <v>0</v>
      </c>
      <c r="AK72" s="2">
        <f t="shared" si="37"/>
        <v>128922.11</v>
      </c>
      <c r="AL72" s="2">
        <f t="shared" si="37"/>
        <v>18417.46</v>
      </c>
      <c r="AM72" s="2">
        <f t="shared" si="37"/>
        <v>0</v>
      </c>
      <c r="AN72" s="2">
        <f t="shared" si="37"/>
        <v>0</v>
      </c>
      <c r="AO72" s="2">
        <f t="shared" si="37"/>
        <v>0</v>
      </c>
      <c r="AP72" s="2">
        <f t="shared" si="37"/>
        <v>0</v>
      </c>
      <c r="AQ72" s="2">
        <f t="shared" si="37"/>
        <v>0</v>
      </c>
      <c r="AR72" s="2">
        <f t="shared" si="37"/>
        <v>836927.81</v>
      </c>
      <c r="AS72" s="2">
        <f t="shared" si="37"/>
        <v>0</v>
      </c>
      <c r="AT72" s="2">
        <f t="shared" si="37"/>
        <v>0</v>
      </c>
      <c r="AU72" s="2">
        <f t="shared" ref="AU72:BZ72" si="38">AU94</f>
        <v>836927.81</v>
      </c>
      <c r="AV72" s="2">
        <f t="shared" si="38"/>
        <v>455289.22</v>
      </c>
      <c r="AW72" s="2">
        <f t="shared" si="38"/>
        <v>455289.22</v>
      </c>
      <c r="AX72" s="2">
        <f t="shared" si="38"/>
        <v>0</v>
      </c>
      <c r="AY72" s="2">
        <f t="shared" si="38"/>
        <v>455289.22</v>
      </c>
      <c r="AZ72" s="2">
        <f t="shared" si="38"/>
        <v>0</v>
      </c>
      <c r="BA72" s="2">
        <f t="shared" si="38"/>
        <v>0</v>
      </c>
      <c r="BB72" s="2">
        <f t="shared" si="38"/>
        <v>0</v>
      </c>
      <c r="BC72" s="2">
        <f t="shared" si="38"/>
        <v>0</v>
      </c>
      <c r="BD72" s="2">
        <f t="shared" si="38"/>
        <v>0</v>
      </c>
      <c r="BE72" s="2">
        <f t="shared" si="38"/>
        <v>0</v>
      </c>
      <c r="BF72" s="2">
        <f t="shared" si="38"/>
        <v>0</v>
      </c>
      <c r="BG72" s="2">
        <f t="shared" si="38"/>
        <v>0</v>
      </c>
      <c r="BH72" s="2">
        <f t="shared" si="38"/>
        <v>0</v>
      </c>
      <c r="BI72" s="2">
        <f t="shared" si="38"/>
        <v>0</v>
      </c>
      <c r="BJ72" s="2">
        <f t="shared" si="38"/>
        <v>0</v>
      </c>
      <c r="BK72" s="2">
        <f t="shared" si="38"/>
        <v>0</v>
      </c>
      <c r="BL72" s="2">
        <f t="shared" si="38"/>
        <v>0</v>
      </c>
      <c r="BM72" s="2">
        <f t="shared" si="38"/>
        <v>0</v>
      </c>
      <c r="BN72" s="2">
        <f t="shared" si="38"/>
        <v>0</v>
      </c>
      <c r="BO72" s="2">
        <f t="shared" si="38"/>
        <v>0</v>
      </c>
      <c r="BP72" s="2">
        <f t="shared" si="38"/>
        <v>0</v>
      </c>
      <c r="BQ72" s="2">
        <f t="shared" si="38"/>
        <v>0</v>
      </c>
      <c r="BR72" s="2">
        <f t="shared" si="38"/>
        <v>0</v>
      </c>
      <c r="BS72" s="2">
        <f t="shared" si="38"/>
        <v>0</v>
      </c>
      <c r="BT72" s="2">
        <f t="shared" si="38"/>
        <v>0</v>
      </c>
      <c r="BU72" s="2">
        <f t="shared" si="38"/>
        <v>0</v>
      </c>
      <c r="BV72" s="2">
        <f t="shared" si="38"/>
        <v>0</v>
      </c>
      <c r="BW72" s="2">
        <f t="shared" si="38"/>
        <v>0</v>
      </c>
      <c r="BX72" s="2">
        <f t="shared" si="38"/>
        <v>0</v>
      </c>
      <c r="BY72" s="2">
        <f t="shared" si="38"/>
        <v>0</v>
      </c>
      <c r="BZ72" s="2">
        <f t="shared" si="38"/>
        <v>0</v>
      </c>
      <c r="CA72" s="2">
        <f t="shared" ref="CA72:DF72" si="39">CA94</f>
        <v>836927.81</v>
      </c>
      <c r="CB72" s="2">
        <f t="shared" si="39"/>
        <v>0</v>
      </c>
      <c r="CC72" s="2">
        <f t="shared" si="39"/>
        <v>0</v>
      </c>
      <c r="CD72" s="2">
        <f t="shared" si="39"/>
        <v>836927.81</v>
      </c>
      <c r="CE72" s="2">
        <f t="shared" si="39"/>
        <v>455289.22</v>
      </c>
      <c r="CF72" s="2">
        <f t="shared" si="39"/>
        <v>455289.22</v>
      </c>
      <c r="CG72" s="2">
        <f t="shared" si="39"/>
        <v>0</v>
      </c>
      <c r="CH72" s="2">
        <f t="shared" si="39"/>
        <v>455289.22</v>
      </c>
      <c r="CI72" s="2">
        <f t="shared" si="39"/>
        <v>0</v>
      </c>
      <c r="CJ72" s="2">
        <f t="shared" si="39"/>
        <v>0</v>
      </c>
      <c r="CK72" s="2">
        <f t="shared" si="39"/>
        <v>0</v>
      </c>
      <c r="CL72" s="2">
        <f t="shared" si="39"/>
        <v>0</v>
      </c>
      <c r="CM72" s="2">
        <f t="shared" si="39"/>
        <v>0</v>
      </c>
      <c r="CN72" s="2">
        <f t="shared" si="39"/>
        <v>0</v>
      </c>
      <c r="CO72" s="2">
        <f t="shared" si="39"/>
        <v>0</v>
      </c>
      <c r="CP72" s="2">
        <f t="shared" si="39"/>
        <v>0</v>
      </c>
      <c r="CQ72" s="2">
        <f t="shared" si="39"/>
        <v>0</v>
      </c>
      <c r="CR72" s="2">
        <f t="shared" si="39"/>
        <v>0</v>
      </c>
      <c r="CS72" s="2">
        <f t="shared" si="39"/>
        <v>0</v>
      </c>
      <c r="CT72" s="2">
        <f t="shared" si="39"/>
        <v>0</v>
      </c>
      <c r="CU72" s="2">
        <f t="shared" si="39"/>
        <v>0</v>
      </c>
      <c r="CV72" s="2">
        <f t="shared" si="39"/>
        <v>0</v>
      </c>
      <c r="CW72" s="2">
        <f t="shared" si="39"/>
        <v>0</v>
      </c>
      <c r="CX72" s="2">
        <f t="shared" si="39"/>
        <v>0</v>
      </c>
      <c r="CY72" s="2">
        <f t="shared" si="39"/>
        <v>0</v>
      </c>
      <c r="CZ72" s="2">
        <f t="shared" si="39"/>
        <v>0</v>
      </c>
      <c r="DA72" s="2">
        <f t="shared" si="39"/>
        <v>0</v>
      </c>
      <c r="DB72" s="2">
        <f t="shared" si="39"/>
        <v>0</v>
      </c>
      <c r="DC72" s="2">
        <f t="shared" si="39"/>
        <v>0</v>
      </c>
      <c r="DD72" s="2">
        <f t="shared" si="39"/>
        <v>0</v>
      </c>
      <c r="DE72" s="2">
        <f t="shared" si="39"/>
        <v>0</v>
      </c>
      <c r="DF72" s="2">
        <f t="shared" si="39"/>
        <v>0</v>
      </c>
      <c r="DG72" s="3">
        <f t="shared" ref="DG72:EL72" si="40">DG94</f>
        <v>0</v>
      </c>
      <c r="DH72" s="3">
        <f t="shared" si="40"/>
        <v>0</v>
      </c>
      <c r="DI72" s="3">
        <f t="shared" si="40"/>
        <v>0</v>
      </c>
      <c r="DJ72" s="3">
        <f t="shared" si="40"/>
        <v>0</v>
      </c>
      <c r="DK72" s="3">
        <f t="shared" si="40"/>
        <v>0</v>
      </c>
      <c r="DL72" s="3">
        <f t="shared" si="40"/>
        <v>0</v>
      </c>
      <c r="DM72" s="3">
        <f t="shared" si="40"/>
        <v>0</v>
      </c>
      <c r="DN72" s="3">
        <f t="shared" si="40"/>
        <v>0</v>
      </c>
      <c r="DO72" s="3">
        <f t="shared" si="40"/>
        <v>0</v>
      </c>
      <c r="DP72" s="3">
        <f t="shared" si="40"/>
        <v>0</v>
      </c>
      <c r="DQ72" s="3">
        <f t="shared" si="40"/>
        <v>0</v>
      </c>
      <c r="DR72" s="3">
        <f t="shared" si="40"/>
        <v>0</v>
      </c>
      <c r="DS72" s="3">
        <f t="shared" si="40"/>
        <v>0</v>
      </c>
      <c r="DT72" s="3">
        <f t="shared" si="40"/>
        <v>0</v>
      </c>
      <c r="DU72" s="3">
        <f t="shared" si="40"/>
        <v>0</v>
      </c>
      <c r="DV72" s="3">
        <f t="shared" si="40"/>
        <v>0</v>
      </c>
      <c r="DW72" s="3">
        <f t="shared" si="40"/>
        <v>0</v>
      </c>
      <c r="DX72" s="3">
        <f t="shared" si="40"/>
        <v>0</v>
      </c>
      <c r="DY72" s="3">
        <f t="shared" si="40"/>
        <v>0</v>
      </c>
      <c r="DZ72" s="3">
        <f t="shared" si="40"/>
        <v>0</v>
      </c>
      <c r="EA72" s="3">
        <f t="shared" si="40"/>
        <v>0</v>
      </c>
      <c r="EB72" s="3">
        <f t="shared" si="40"/>
        <v>0</v>
      </c>
      <c r="EC72" s="3">
        <f t="shared" si="40"/>
        <v>0</v>
      </c>
      <c r="ED72" s="3">
        <f t="shared" si="40"/>
        <v>0</v>
      </c>
      <c r="EE72" s="3">
        <f t="shared" si="40"/>
        <v>0</v>
      </c>
      <c r="EF72" s="3">
        <f t="shared" si="40"/>
        <v>0</v>
      </c>
      <c r="EG72" s="3">
        <f t="shared" si="40"/>
        <v>0</v>
      </c>
      <c r="EH72" s="3">
        <f t="shared" si="40"/>
        <v>0</v>
      </c>
      <c r="EI72" s="3">
        <f t="shared" si="40"/>
        <v>0</v>
      </c>
      <c r="EJ72" s="3">
        <f t="shared" si="40"/>
        <v>0</v>
      </c>
      <c r="EK72" s="3">
        <f t="shared" si="40"/>
        <v>0</v>
      </c>
      <c r="EL72" s="3">
        <f t="shared" si="40"/>
        <v>0</v>
      </c>
      <c r="EM72" s="3">
        <f t="shared" ref="EM72:FR72" si="41">EM94</f>
        <v>0</v>
      </c>
      <c r="EN72" s="3">
        <f t="shared" si="41"/>
        <v>0</v>
      </c>
      <c r="EO72" s="3">
        <f t="shared" si="41"/>
        <v>0</v>
      </c>
      <c r="EP72" s="3">
        <f t="shared" si="41"/>
        <v>0</v>
      </c>
      <c r="EQ72" s="3">
        <f t="shared" si="41"/>
        <v>0</v>
      </c>
      <c r="ER72" s="3">
        <f t="shared" si="41"/>
        <v>0</v>
      </c>
      <c r="ES72" s="3">
        <f t="shared" si="41"/>
        <v>0</v>
      </c>
      <c r="ET72" s="3">
        <f t="shared" si="41"/>
        <v>0</v>
      </c>
      <c r="EU72" s="3">
        <f t="shared" si="41"/>
        <v>0</v>
      </c>
      <c r="EV72" s="3">
        <f t="shared" si="41"/>
        <v>0</v>
      </c>
      <c r="EW72" s="3">
        <f t="shared" si="41"/>
        <v>0</v>
      </c>
      <c r="EX72" s="3">
        <f t="shared" si="41"/>
        <v>0</v>
      </c>
      <c r="EY72" s="3">
        <f t="shared" si="41"/>
        <v>0</v>
      </c>
      <c r="EZ72" s="3">
        <f t="shared" si="41"/>
        <v>0</v>
      </c>
      <c r="FA72" s="3">
        <f t="shared" si="41"/>
        <v>0</v>
      </c>
      <c r="FB72" s="3">
        <f t="shared" si="41"/>
        <v>0</v>
      </c>
      <c r="FC72" s="3">
        <f t="shared" si="41"/>
        <v>0</v>
      </c>
      <c r="FD72" s="3">
        <f t="shared" si="41"/>
        <v>0</v>
      </c>
      <c r="FE72" s="3">
        <f t="shared" si="41"/>
        <v>0</v>
      </c>
      <c r="FF72" s="3">
        <f t="shared" si="41"/>
        <v>0</v>
      </c>
      <c r="FG72" s="3">
        <f t="shared" si="41"/>
        <v>0</v>
      </c>
      <c r="FH72" s="3">
        <f t="shared" si="41"/>
        <v>0</v>
      </c>
      <c r="FI72" s="3">
        <f t="shared" si="41"/>
        <v>0</v>
      </c>
      <c r="FJ72" s="3">
        <f t="shared" si="41"/>
        <v>0</v>
      </c>
      <c r="FK72" s="3">
        <f t="shared" si="41"/>
        <v>0</v>
      </c>
      <c r="FL72" s="3">
        <f t="shared" si="41"/>
        <v>0</v>
      </c>
      <c r="FM72" s="3">
        <f t="shared" si="41"/>
        <v>0</v>
      </c>
      <c r="FN72" s="3">
        <f t="shared" si="41"/>
        <v>0</v>
      </c>
      <c r="FO72" s="3">
        <f t="shared" si="41"/>
        <v>0</v>
      </c>
      <c r="FP72" s="3">
        <f t="shared" si="41"/>
        <v>0</v>
      </c>
      <c r="FQ72" s="3">
        <f t="shared" si="41"/>
        <v>0</v>
      </c>
      <c r="FR72" s="3">
        <f t="shared" si="41"/>
        <v>0</v>
      </c>
      <c r="FS72" s="3">
        <f t="shared" ref="FS72:GX72" si="42">FS94</f>
        <v>0</v>
      </c>
      <c r="FT72" s="3">
        <f t="shared" si="42"/>
        <v>0</v>
      </c>
      <c r="FU72" s="3">
        <f t="shared" si="42"/>
        <v>0</v>
      </c>
      <c r="FV72" s="3">
        <f t="shared" si="42"/>
        <v>0</v>
      </c>
      <c r="FW72" s="3">
        <f t="shared" si="42"/>
        <v>0</v>
      </c>
      <c r="FX72" s="3">
        <f t="shared" si="42"/>
        <v>0</v>
      </c>
      <c r="FY72" s="3">
        <f t="shared" si="42"/>
        <v>0</v>
      </c>
      <c r="FZ72" s="3">
        <f t="shared" si="42"/>
        <v>0</v>
      </c>
      <c r="GA72" s="3">
        <f t="shared" si="42"/>
        <v>0</v>
      </c>
      <c r="GB72" s="3">
        <f t="shared" si="42"/>
        <v>0</v>
      </c>
      <c r="GC72" s="3">
        <f t="shared" si="42"/>
        <v>0</v>
      </c>
      <c r="GD72" s="3">
        <f t="shared" si="42"/>
        <v>0</v>
      </c>
      <c r="GE72" s="3">
        <f t="shared" si="42"/>
        <v>0</v>
      </c>
      <c r="GF72" s="3">
        <f t="shared" si="42"/>
        <v>0</v>
      </c>
      <c r="GG72" s="3">
        <f t="shared" si="42"/>
        <v>0</v>
      </c>
      <c r="GH72" s="3">
        <f t="shared" si="42"/>
        <v>0</v>
      </c>
      <c r="GI72" s="3">
        <f t="shared" si="42"/>
        <v>0</v>
      </c>
      <c r="GJ72" s="3">
        <f t="shared" si="42"/>
        <v>0</v>
      </c>
      <c r="GK72" s="3">
        <f t="shared" si="42"/>
        <v>0</v>
      </c>
      <c r="GL72" s="3">
        <f t="shared" si="42"/>
        <v>0</v>
      </c>
      <c r="GM72" s="3">
        <f t="shared" si="42"/>
        <v>0</v>
      </c>
      <c r="GN72" s="3">
        <f t="shared" si="42"/>
        <v>0</v>
      </c>
      <c r="GO72" s="3">
        <f t="shared" si="42"/>
        <v>0</v>
      </c>
      <c r="GP72" s="3">
        <f t="shared" si="42"/>
        <v>0</v>
      </c>
      <c r="GQ72" s="3">
        <f t="shared" si="42"/>
        <v>0</v>
      </c>
      <c r="GR72" s="3">
        <f t="shared" si="42"/>
        <v>0</v>
      </c>
      <c r="GS72" s="3">
        <f t="shared" si="42"/>
        <v>0</v>
      </c>
      <c r="GT72" s="3">
        <f t="shared" si="42"/>
        <v>0</v>
      </c>
      <c r="GU72" s="3">
        <f t="shared" si="42"/>
        <v>0</v>
      </c>
      <c r="GV72" s="3">
        <f t="shared" si="42"/>
        <v>0</v>
      </c>
      <c r="GW72" s="3">
        <f t="shared" si="42"/>
        <v>0</v>
      </c>
      <c r="GX72" s="3">
        <f t="shared" si="42"/>
        <v>0</v>
      </c>
    </row>
    <row r="74" spans="1:245" x14ac:dyDescent="0.2">
      <c r="A74">
        <v>17</v>
      </c>
      <c r="B74">
        <v>1</v>
      </c>
      <c r="C74">
        <f>ROW(SmtRes!A20)</f>
        <v>20</v>
      </c>
      <c r="D74">
        <f>ROW(EtalonRes!A20)</f>
        <v>20</v>
      </c>
      <c r="E74" t="s">
        <v>105</v>
      </c>
      <c r="F74" t="s">
        <v>106</v>
      </c>
      <c r="G74" t="s">
        <v>107</v>
      </c>
      <c r="H74" t="s">
        <v>108</v>
      </c>
      <c r="I74">
        <f>ROUND(24/100,9)</f>
        <v>0.24</v>
      </c>
      <c r="J74">
        <v>0</v>
      </c>
      <c r="O74">
        <f t="shared" ref="O74:O92" si="43">ROUND(CP74,2)</f>
        <v>10068.26</v>
      </c>
      <c r="P74">
        <f t="shared" ref="P74:P92" si="44">ROUND(CQ74*I74,2)</f>
        <v>0</v>
      </c>
      <c r="Q74">
        <f t="shared" ref="Q74:Q92" si="45">ROUND(CR74*I74,2)</f>
        <v>0</v>
      </c>
      <c r="R74">
        <f t="shared" ref="R74:R92" si="46">ROUND(CS74*I74,2)</f>
        <v>0</v>
      </c>
      <c r="S74">
        <f t="shared" ref="S74:S92" si="47">ROUND(CT74*I74,2)</f>
        <v>10068.26</v>
      </c>
      <c r="T74">
        <f t="shared" ref="T74:T92" si="48">ROUND(CU74*I74,2)</f>
        <v>0</v>
      </c>
      <c r="U74">
        <f t="shared" ref="U74:U92" si="49">CV74*I74</f>
        <v>53.183999999999997</v>
      </c>
      <c r="V74">
        <f t="shared" ref="V74:V92" si="50">CW74*I74</f>
        <v>0</v>
      </c>
      <c r="W74">
        <f t="shared" ref="W74:W92" si="51">ROUND(CX74*I74,2)</f>
        <v>0</v>
      </c>
      <c r="X74">
        <f t="shared" ref="X74:X92" si="52">ROUND(CY74,2)</f>
        <v>7047.78</v>
      </c>
      <c r="Y74">
        <f t="shared" ref="Y74:Y92" si="53">ROUND(CZ74,2)</f>
        <v>1006.83</v>
      </c>
      <c r="AA74">
        <v>38799519</v>
      </c>
      <c r="AB74">
        <f t="shared" ref="AB74:AB92" si="54">ROUND((AC74+AD74+AF74),6)</f>
        <v>41951.1</v>
      </c>
      <c r="AC74">
        <f t="shared" ref="AC74:AC92" si="55">ROUND((ES74),6)</f>
        <v>0</v>
      </c>
      <c r="AD74">
        <f t="shared" ref="AD74:AD92" si="56">ROUND((((ET74)-(EU74))+AE74),6)</f>
        <v>0</v>
      </c>
      <c r="AE74">
        <f t="shared" ref="AE74:AE92" si="57">ROUND((EU74),6)</f>
        <v>0</v>
      </c>
      <c r="AF74">
        <f t="shared" ref="AF74:AF92" si="58">ROUND((EV74),6)</f>
        <v>41951.1</v>
      </c>
      <c r="AG74">
        <f t="shared" ref="AG74:AG92" si="59">ROUND((AP74),6)</f>
        <v>0</v>
      </c>
      <c r="AH74">
        <f t="shared" ref="AH74:AH92" si="60">(EW74)</f>
        <v>221.6</v>
      </c>
      <c r="AI74">
        <f t="shared" ref="AI74:AI92" si="61">(EX74)</f>
        <v>0</v>
      </c>
      <c r="AJ74">
        <f t="shared" ref="AJ74:AJ92" si="62">(AS74)</f>
        <v>0</v>
      </c>
      <c r="AK74">
        <v>41951.1</v>
      </c>
      <c r="AL74">
        <v>0</v>
      </c>
      <c r="AM74">
        <v>0</v>
      </c>
      <c r="AN74">
        <v>0</v>
      </c>
      <c r="AO74">
        <v>41951.1</v>
      </c>
      <c r="AP74">
        <v>0</v>
      </c>
      <c r="AQ74">
        <v>221.6</v>
      </c>
      <c r="AR74">
        <v>0</v>
      </c>
      <c r="AS74">
        <v>0</v>
      </c>
      <c r="AT74">
        <v>70</v>
      </c>
      <c r="AU74">
        <v>10</v>
      </c>
      <c r="AV74">
        <v>1</v>
      </c>
      <c r="AW74">
        <v>1</v>
      </c>
      <c r="AZ74">
        <v>1</v>
      </c>
      <c r="BA74">
        <v>1</v>
      </c>
      <c r="BB74">
        <v>1</v>
      </c>
      <c r="BC74">
        <v>1</v>
      </c>
      <c r="BD74" t="s">
        <v>3</v>
      </c>
      <c r="BE74" t="s">
        <v>3</v>
      </c>
      <c r="BF74" t="s">
        <v>3</v>
      </c>
      <c r="BG74" t="s">
        <v>3</v>
      </c>
      <c r="BH74">
        <v>0</v>
      </c>
      <c r="BI74">
        <v>4</v>
      </c>
      <c r="BJ74" t="s">
        <v>109</v>
      </c>
      <c r="BM74">
        <v>0</v>
      </c>
      <c r="BN74">
        <v>0</v>
      </c>
      <c r="BO74" t="s">
        <v>3</v>
      </c>
      <c r="BP74">
        <v>0</v>
      </c>
      <c r="BQ74">
        <v>1</v>
      </c>
      <c r="BR74">
        <v>0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 t="s">
        <v>3</v>
      </c>
      <c r="BZ74">
        <v>70</v>
      </c>
      <c r="CA74">
        <v>10</v>
      </c>
      <c r="CE74">
        <v>0</v>
      </c>
      <c r="CF74">
        <v>0</v>
      </c>
      <c r="CG74">
        <v>0</v>
      </c>
      <c r="CM74">
        <v>0</v>
      </c>
      <c r="CN74" t="s">
        <v>3</v>
      </c>
      <c r="CO74">
        <v>0</v>
      </c>
      <c r="CP74">
        <f t="shared" ref="CP74:CP92" si="63">(P74+Q74+S74)</f>
        <v>10068.26</v>
      </c>
      <c r="CQ74">
        <f t="shared" ref="CQ74:CQ92" si="64">(AC74*BC74*AW74)</f>
        <v>0</v>
      </c>
      <c r="CR74">
        <f t="shared" ref="CR74:CR92" si="65">((((ET74)*BB74-(EU74)*BS74)+AE74*BS74)*AV74)</f>
        <v>0</v>
      </c>
      <c r="CS74">
        <f t="shared" ref="CS74:CS92" si="66">(AE74*BS74*AV74)</f>
        <v>0</v>
      </c>
      <c r="CT74">
        <f t="shared" ref="CT74:CT92" si="67">(AF74*BA74*AV74)</f>
        <v>41951.1</v>
      </c>
      <c r="CU74">
        <f t="shared" ref="CU74:CU92" si="68">AG74</f>
        <v>0</v>
      </c>
      <c r="CV74">
        <f t="shared" ref="CV74:CV92" si="69">(AH74*AV74)</f>
        <v>221.6</v>
      </c>
      <c r="CW74">
        <f t="shared" ref="CW74:CW92" si="70">AI74</f>
        <v>0</v>
      </c>
      <c r="CX74">
        <f t="shared" ref="CX74:CX92" si="71">AJ74</f>
        <v>0</v>
      </c>
      <c r="CY74">
        <f t="shared" ref="CY74:CY92" si="72">((S74*BZ74)/100)</f>
        <v>7047.7820000000011</v>
      </c>
      <c r="CZ74">
        <f t="shared" ref="CZ74:CZ92" si="73">((S74*CA74)/100)</f>
        <v>1006.826</v>
      </c>
      <c r="DC74" t="s">
        <v>3</v>
      </c>
      <c r="DD74" t="s">
        <v>3</v>
      </c>
      <c r="DE74" t="s">
        <v>3</v>
      </c>
      <c r="DF74" t="s">
        <v>3</v>
      </c>
      <c r="DG74" t="s">
        <v>3</v>
      </c>
      <c r="DH74" t="s">
        <v>3</v>
      </c>
      <c r="DI74" t="s">
        <v>3</v>
      </c>
      <c r="DJ74" t="s">
        <v>3</v>
      </c>
      <c r="DK74" t="s">
        <v>3</v>
      </c>
      <c r="DL74" t="s">
        <v>3</v>
      </c>
      <c r="DM74" t="s">
        <v>3</v>
      </c>
      <c r="DN74">
        <v>0</v>
      </c>
      <c r="DO74">
        <v>0</v>
      </c>
      <c r="DP74">
        <v>1</v>
      </c>
      <c r="DQ74">
        <v>1</v>
      </c>
      <c r="DU74">
        <v>1007</v>
      </c>
      <c r="DV74" t="s">
        <v>108</v>
      </c>
      <c r="DW74" t="s">
        <v>108</v>
      </c>
      <c r="DX74">
        <v>100</v>
      </c>
      <c r="EE74">
        <v>38447819</v>
      </c>
      <c r="EF74">
        <v>1</v>
      </c>
      <c r="EG74" t="s">
        <v>23</v>
      </c>
      <c r="EH74">
        <v>0</v>
      </c>
      <c r="EI74" t="s">
        <v>3</v>
      </c>
      <c r="EJ74">
        <v>4</v>
      </c>
      <c r="EK74">
        <v>0</v>
      </c>
      <c r="EL74" t="s">
        <v>24</v>
      </c>
      <c r="EM74" t="s">
        <v>25</v>
      </c>
      <c r="EO74" t="s">
        <v>3</v>
      </c>
      <c r="EQ74">
        <v>0</v>
      </c>
      <c r="ER74">
        <v>41951.1</v>
      </c>
      <c r="ES74">
        <v>0</v>
      </c>
      <c r="ET74">
        <v>0</v>
      </c>
      <c r="EU74">
        <v>0</v>
      </c>
      <c r="EV74">
        <v>41951.1</v>
      </c>
      <c r="EW74">
        <v>221.6</v>
      </c>
      <c r="EX74">
        <v>0</v>
      </c>
      <c r="EY74">
        <v>0</v>
      </c>
      <c r="FQ74">
        <v>0</v>
      </c>
      <c r="FR74">
        <f t="shared" ref="FR74:FR92" si="74">ROUND(IF(AND(BH74=3,BI74=3),P74,0),2)</f>
        <v>0</v>
      </c>
      <c r="FS74">
        <v>0</v>
      </c>
      <c r="FX74">
        <v>70</v>
      </c>
      <c r="FY74">
        <v>10</v>
      </c>
      <c r="GA74" t="s">
        <v>3</v>
      </c>
      <c r="GD74">
        <v>0</v>
      </c>
      <c r="GF74">
        <v>1840361055</v>
      </c>
      <c r="GG74">
        <v>2</v>
      </c>
      <c r="GH74">
        <v>1</v>
      </c>
      <c r="GI74">
        <v>-2</v>
      </c>
      <c r="GJ74">
        <v>0</v>
      </c>
      <c r="GK74">
        <f>ROUND(R74*(R12)/100,2)</f>
        <v>0</v>
      </c>
      <c r="GL74">
        <f t="shared" ref="GL74:GL92" si="75">ROUND(IF(AND(BH74=3,BI74=3,FS74&lt;&gt;0),P74,0),2)</f>
        <v>0</v>
      </c>
      <c r="GM74">
        <f t="shared" ref="GM74:GM92" si="76">ROUND(O74+X74+Y74+GK74,2)+GX74</f>
        <v>18122.87</v>
      </c>
      <c r="GN74">
        <f t="shared" ref="GN74:GN92" si="77">IF(OR(BI74=0,BI74=1),ROUND(O74+X74+Y74+GK74,2),0)</f>
        <v>0</v>
      </c>
      <c r="GO74">
        <f t="shared" ref="GO74:GO92" si="78">IF(BI74=2,ROUND(O74+X74+Y74+GK74,2),0)</f>
        <v>0</v>
      </c>
      <c r="GP74">
        <f t="shared" ref="GP74:GP92" si="79">IF(BI74=4,ROUND(O74+X74+Y74+GK74,2)+GX74,0)</f>
        <v>18122.87</v>
      </c>
      <c r="GR74">
        <v>0</v>
      </c>
      <c r="GS74">
        <v>3</v>
      </c>
      <c r="GT74">
        <v>0</v>
      </c>
      <c r="GU74" t="s">
        <v>3</v>
      </c>
      <c r="GV74">
        <f t="shared" ref="GV74:GV92" si="80">ROUND((GT74),6)</f>
        <v>0</v>
      </c>
      <c r="GW74">
        <v>1</v>
      </c>
      <c r="GX74">
        <f t="shared" ref="GX74:GX92" si="81">ROUND(HC74*I74,2)</f>
        <v>0</v>
      </c>
      <c r="HA74">
        <v>0</v>
      </c>
      <c r="HB74">
        <v>0</v>
      </c>
      <c r="HC74">
        <f t="shared" ref="HC74:HC92" si="82">GV74*GW74</f>
        <v>0</v>
      </c>
      <c r="HE74" t="s">
        <v>3</v>
      </c>
      <c r="HF74" t="s">
        <v>3</v>
      </c>
      <c r="IK74">
        <v>0</v>
      </c>
    </row>
    <row r="75" spans="1:245" x14ac:dyDescent="0.2">
      <c r="A75">
        <v>17</v>
      </c>
      <c r="B75">
        <v>1</v>
      </c>
      <c r="C75">
        <f>ROW(SmtRes!A23)</f>
        <v>23</v>
      </c>
      <c r="D75">
        <f>ROW(EtalonRes!A23)</f>
        <v>23</v>
      </c>
      <c r="E75" t="s">
        <v>110</v>
      </c>
      <c r="F75" t="s">
        <v>111</v>
      </c>
      <c r="G75" t="s">
        <v>112</v>
      </c>
      <c r="H75" t="s">
        <v>108</v>
      </c>
      <c r="I75">
        <f>ROUND(24/100,9)</f>
        <v>0.24</v>
      </c>
      <c r="J75">
        <v>0</v>
      </c>
      <c r="O75">
        <f t="shared" si="43"/>
        <v>2957.74</v>
      </c>
      <c r="P75">
        <f t="shared" si="44"/>
        <v>0</v>
      </c>
      <c r="Q75">
        <f t="shared" si="45"/>
        <v>2355.14</v>
      </c>
      <c r="R75">
        <f t="shared" si="46"/>
        <v>1340.54</v>
      </c>
      <c r="S75">
        <f t="shared" si="47"/>
        <v>602.6</v>
      </c>
      <c r="T75">
        <f t="shared" si="48"/>
        <v>0</v>
      </c>
      <c r="U75">
        <f t="shared" si="49"/>
        <v>2.9807999999999999</v>
      </c>
      <c r="V75">
        <f t="shared" si="50"/>
        <v>0</v>
      </c>
      <c r="W75">
        <f t="shared" si="51"/>
        <v>0</v>
      </c>
      <c r="X75">
        <f t="shared" si="52"/>
        <v>421.82</v>
      </c>
      <c r="Y75">
        <f t="shared" si="53"/>
        <v>60.26</v>
      </c>
      <c r="AA75">
        <v>38799519</v>
      </c>
      <c r="AB75">
        <f t="shared" si="54"/>
        <v>12323.93</v>
      </c>
      <c r="AC75">
        <f t="shared" si="55"/>
        <v>0</v>
      </c>
      <c r="AD75">
        <f t="shared" si="56"/>
        <v>9813.1</v>
      </c>
      <c r="AE75">
        <f t="shared" si="57"/>
        <v>5585.58</v>
      </c>
      <c r="AF75">
        <f t="shared" si="58"/>
        <v>2510.83</v>
      </c>
      <c r="AG75">
        <f t="shared" si="59"/>
        <v>0</v>
      </c>
      <c r="AH75">
        <f t="shared" si="60"/>
        <v>12.42</v>
      </c>
      <c r="AI75">
        <f t="shared" si="61"/>
        <v>0</v>
      </c>
      <c r="AJ75">
        <f t="shared" si="62"/>
        <v>0</v>
      </c>
      <c r="AK75">
        <v>12323.93</v>
      </c>
      <c r="AL75">
        <v>0</v>
      </c>
      <c r="AM75">
        <v>9813.1</v>
      </c>
      <c r="AN75">
        <v>5585.58</v>
      </c>
      <c r="AO75">
        <v>2510.83</v>
      </c>
      <c r="AP75">
        <v>0</v>
      </c>
      <c r="AQ75">
        <v>12.42</v>
      </c>
      <c r="AR75">
        <v>0</v>
      </c>
      <c r="AS75">
        <v>0</v>
      </c>
      <c r="AT75">
        <v>70</v>
      </c>
      <c r="AU75">
        <v>10</v>
      </c>
      <c r="AV75">
        <v>1</v>
      </c>
      <c r="AW75">
        <v>1</v>
      </c>
      <c r="AZ75">
        <v>1</v>
      </c>
      <c r="BA75">
        <v>1</v>
      </c>
      <c r="BB75">
        <v>1</v>
      </c>
      <c r="BC75">
        <v>1</v>
      </c>
      <c r="BD75" t="s">
        <v>3</v>
      </c>
      <c r="BE75" t="s">
        <v>3</v>
      </c>
      <c r="BF75" t="s">
        <v>3</v>
      </c>
      <c r="BG75" t="s">
        <v>3</v>
      </c>
      <c r="BH75">
        <v>0</v>
      </c>
      <c r="BI75">
        <v>4</v>
      </c>
      <c r="BJ75" t="s">
        <v>113</v>
      </c>
      <c r="BM75">
        <v>0</v>
      </c>
      <c r="BN75">
        <v>0</v>
      </c>
      <c r="BO75" t="s">
        <v>3</v>
      </c>
      <c r="BP75">
        <v>0</v>
      </c>
      <c r="BQ75">
        <v>1</v>
      </c>
      <c r="BR75">
        <v>0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 t="s">
        <v>3</v>
      </c>
      <c r="BZ75">
        <v>70</v>
      </c>
      <c r="CA75">
        <v>10</v>
      </c>
      <c r="CE75">
        <v>0</v>
      </c>
      <c r="CF75">
        <v>0</v>
      </c>
      <c r="CG75">
        <v>0</v>
      </c>
      <c r="CM75">
        <v>0</v>
      </c>
      <c r="CN75" t="s">
        <v>3</v>
      </c>
      <c r="CO75">
        <v>0</v>
      </c>
      <c r="CP75">
        <f t="shared" si="63"/>
        <v>2957.74</v>
      </c>
      <c r="CQ75">
        <f t="shared" si="64"/>
        <v>0</v>
      </c>
      <c r="CR75">
        <f t="shared" si="65"/>
        <v>9813.1</v>
      </c>
      <c r="CS75">
        <f t="shared" si="66"/>
        <v>5585.58</v>
      </c>
      <c r="CT75">
        <f t="shared" si="67"/>
        <v>2510.83</v>
      </c>
      <c r="CU75">
        <f t="shared" si="68"/>
        <v>0</v>
      </c>
      <c r="CV75">
        <f t="shared" si="69"/>
        <v>12.42</v>
      </c>
      <c r="CW75">
        <f t="shared" si="70"/>
        <v>0</v>
      </c>
      <c r="CX75">
        <f t="shared" si="71"/>
        <v>0</v>
      </c>
      <c r="CY75">
        <f t="shared" si="72"/>
        <v>421.82</v>
      </c>
      <c r="CZ75">
        <f t="shared" si="73"/>
        <v>60.26</v>
      </c>
      <c r="DC75" t="s">
        <v>3</v>
      </c>
      <c r="DD75" t="s">
        <v>3</v>
      </c>
      <c r="DE75" t="s">
        <v>3</v>
      </c>
      <c r="DF75" t="s">
        <v>3</v>
      </c>
      <c r="DG75" t="s">
        <v>3</v>
      </c>
      <c r="DH75" t="s">
        <v>3</v>
      </c>
      <c r="DI75" t="s">
        <v>3</v>
      </c>
      <c r="DJ75" t="s">
        <v>3</v>
      </c>
      <c r="DK75" t="s">
        <v>3</v>
      </c>
      <c r="DL75" t="s">
        <v>3</v>
      </c>
      <c r="DM75" t="s">
        <v>3</v>
      </c>
      <c r="DN75">
        <v>0</v>
      </c>
      <c r="DO75">
        <v>0</v>
      </c>
      <c r="DP75">
        <v>1</v>
      </c>
      <c r="DQ75">
        <v>1</v>
      </c>
      <c r="DU75">
        <v>1007</v>
      </c>
      <c r="DV75" t="s">
        <v>108</v>
      </c>
      <c r="DW75" t="s">
        <v>108</v>
      </c>
      <c r="DX75">
        <v>100</v>
      </c>
      <c r="EE75">
        <v>38447819</v>
      </c>
      <c r="EF75">
        <v>1</v>
      </c>
      <c r="EG75" t="s">
        <v>23</v>
      </c>
      <c r="EH75">
        <v>0</v>
      </c>
      <c r="EI75" t="s">
        <v>3</v>
      </c>
      <c r="EJ75">
        <v>4</v>
      </c>
      <c r="EK75">
        <v>0</v>
      </c>
      <c r="EL75" t="s">
        <v>24</v>
      </c>
      <c r="EM75" t="s">
        <v>25</v>
      </c>
      <c r="EO75" t="s">
        <v>3</v>
      </c>
      <c r="EQ75">
        <v>0</v>
      </c>
      <c r="ER75">
        <v>12323.93</v>
      </c>
      <c r="ES75">
        <v>0</v>
      </c>
      <c r="ET75">
        <v>9813.1</v>
      </c>
      <c r="EU75">
        <v>5585.58</v>
      </c>
      <c r="EV75">
        <v>2510.83</v>
      </c>
      <c r="EW75">
        <v>12.42</v>
      </c>
      <c r="EX75">
        <v>0</v>
      </c>
      <c r="EY75">
        <v>0</v>
      </c>
      <c r="FQ75">
        <v>0</v>
      </c>
      <c r="FR75">
        <f t="shared" si="74"/>
        <v>0</v>
      </c>
      <c r="FS75">
        <v>0</v>
      </c>
      <c r="FX75">
        <v>70</v>
      </c>
      <c r="FY75">
        <v>10</v>
      </c>
      <c r="GA75" t="s">
        <v>3</v>
      </c>
      <c r="GD75">
        <v>0</v>
      </c>
      <c r="GF75">
        <v>2042491532</v>
      </c>
      <c r="GG75">
        <v>2</v>
      </c>
      <c r="GH75">
        <v>1</v>
      </c>
      <c r="GI75">
        <v>-2</v>
      </c>
      <c r="GJ75">
        <v>0</v>
      </c>
      <c r="GK75">
        <f>ROUND(R75*(R12)/100,2)</f>
        <v>1447.78</v>
      </c>
      <c r="GL75">
        <f t="shared" si="75"/>
        <v>0</v>
      </c>
      <c r="GM75">
        <f t="shared" si="76"/>
        <v>4887.6000000000004</v>
      </c>
      <c r="GN75">
        <f t="shared" si="77"/>
        <v>0</v>
      </c>
      <c r="GO75">
        <f t="shared" si="78"/>
        <v>0</v>
      </c>
      <c r="GP75">
        <f t="shared" si="79"/>
        <v>4887.6000000000004</v>
      </c>
      <c r="GR75">
        <v>0</v>
      </c>
      <c r="GS75">
        <v>3</v>
      </c>
      <c r="GT75">
        <v>0</v>
      </c>
      <c r="GU75" t="s">
        <v>3</v>
      </c>
      <c r="GV75">
        <f t="shared" si="80"/>
        <v>0</v>
      </c>
      <c r="GW75">
        <v>1</v>
      </c>
      <c r="GX75">
        <f t="shared" si="81"/>
        <v>0</v>
      </c>
      <c r="HA75">
        <v>0</v>
      </c>
      <c r="HB75">
        <v>0</v>
      </c>
      <c r="HC75">
        <f t="shared" si="82"/>
        <v>0</v>
      </c>
      <c r="HE75" t="s">
        <v>3</v>
      </c>
      <c r="HF75" t="s">
        <v>3</v>
      </c>
      <c r="IK75">
        <v>0</v>
      </c>
    </row>
    <row r="76" spans="1:245" x14ac:dyDescent="0.2">
      <c r="A76">
        <v>17</v>
      </c>
      <c r="B76">
        <v>1</v>
      </c>
      <c r="C76">
        <f>ROW(SmtRes!A27)</f>
        <v>27</v>
      </c>
      <c r="D76">
        <f>ROW(EtalonRes!A27)</f>
        <v>27</v>
      </c>
      <c r="E76" t="s">
        <v>114</v>
      </c>
      <c r="F76" t="s">
        <v>115</v>
      </c>
      <c r="G76" t="s">
        <v>116</v>
      </c>
      <c r="H76" t="s">
        <v>35</v>
      </c>
      <c r="I76">
        <v>19.2</v>
      </c>
      <c r="J76">
        <v>0</v>
      </c>
      <c r="O76">
        <f t="shared" si="43"/>
        <v>31804.6</v>
      </c>
      <c r="P76">
        <f t="shared" si="44"/>
        <v>12704.06</v>
      </c>
      <c r="Q76">
        <f t="shared" si="45"/>
        <v>5457.02</v>
      </c>
      <c r="R76">
        <f t="shared" si="46"/>
        <v>3106.18</v>
      </c>
      <c r="S76">
        <f t="shared" si="47"/>
        <v>13643.52</v>
      </c>
      <c r="T76">
        <f t="shared" si="48"/>
        <v>0</v>
      </c>
      <c r="U76">
        <f t="shared" si="49"/>
        <v>66.048000000000002</v>
      </c>
      <c r="V76">
        <f t="shared" si="50"/>
        <v>0</v>
      </c>
      <c r="W76">
        <f t="shared" si="51"/>
        <v>0</v>
      </c>
      <c r="X76">
        <f t="shared" si="52"/>
        <v>9550.4599999999991</v>
      </c>
      <c r="Y76">
        <f t="shared" si="53"/>
        <v>1364.35</v>
      </c>
      <c r="AA76">
        <v>38799519</v>
      </c>
      <c r="AB76">
        <f t="shared" si="54"/>
        <v>1656.49</v>
      </c>
      <c r="AC76">
        <f t="shared" si="55"/>
        <v>661.67</v>
      </c>
      <c r="AD76">
        <f t="shared" si="56"/>
        <v>284.22000000000003</v>
      </c>
      <c r="AE76">
        <f t="shared" si="57"/>
        <v>161.78</v>
      </c>
      <c r="AF76">
        <f t="shared" si="58"/>
        <v>710.6</v>
      </c>
      <c r="AG76">
        <f t="shared" si="59"/>
        <v>0</v>
      </c>
      <c r="AH76">
        <f t="shared" si="60"/>
        <v>3.44</v>
      </c>
      <c r="AI76">
        <f t="shared" si="61"/>
        <v>0</v>
      </c>
      <c r="AJ76">
        <f t="shared" si="62"/>
        <v>0</v>
      </c>
      <c r="AK76">
        <v>1656.49</v>
      </c>
      <c r="AL76">
        <v>661.67</v>
      </c>
      <c r="AM76">
        <v>284.22000000000003</v>
      </c>
      <c r="AN76">
        <v>161.78</v>
      </c>
      <c r="AO76">
        <v>710.6</v>
      </c>
      <c r="AP76">
        <v>0</v>
      </c>
      <c r="AQ76">
        <v>3.44</v>
      </c>
      <c r="AR76">
        <v>0</v>
      </c>
      <c r="AS76">
        <v>0</v>
      </c>
      <c r="AT76">
        <v>70</v>
      </c>
      <c r="AU76">
        <v>10</v>
      </c>
      <c r="AV76">
        <v>1</v>
      </c>
      <c r="AW76">
        <v>1</v>
      </c>
      <c r="AZ76">
        <v>1</v>
      </c>
      <c r="BA76">
        <v>1</v>
      </c>
      <c r="BB76">
        <v>1</v>
      </c>
      <c r="BC76">
        <v>1</v>
      </c>
      <c r="BD76" t="s">
        <v>3</v>
      </c>
      <c r="BE76" t="s">
        <v>3</v>
      </c>
      <c r="BF76" t="s">
        <v>3</v>
      </c>
      <c r="BG76" t="s">
        <v>3</v>
      </c>
      <c r="BH76">
        <v>0</v>
      </c>
      <c r="BI76">
        <v>4</v>
      </c>
      <c r="BJ76" t="s">
        <v>117</v>
      </c>
      <c r="BM76">
        <v>0</v>
      </c>
      <c r="BN76">
        <v>0</v>
      </c>
      <c r="BO76" t="s">
        <v>3</v>
      </c>
      <c r="BP76">
        <v>0</v>
      </c>
      <c r="BQ76">
        <v>1</v>
      </c>
      <c r="BR76">
        <v>0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 t="s">
        <v>3</v>
      </c>
      <c r="BZ76">
        <v>70</v>
      </c>
      <c r="CA76">
        <v>10</v>
      </c>
      <c r="CE76">
        <v>0</v>
      </c>
      <c r="CF76">
        <v>0</v>
      </c>
      <c r="CG76">
        <v>0</v>
      </c>
      <c r="CM76">
        <v>0</v>
      </c>
      <c r="CN76" t="s">
        <v>3</v>
      </c>
      <c r="CO76">
        <v>0</v>
      </c>
      <c r="CP76">
        <f t="shared" si="63"/>
        <v>31804.600000000002</v>
      </c>
      <c r="CQ76">
        <f t="shared" si="64"/>
        <v>661.67</v>
      </c>
      <c r="CR76">
        <f t="shared" si="65"/>
        <v>284.22000000000003</v>
      </c>
      <c r="CS76">
        <f t="shared" si="66"/>
        <v>161.78</v>
      </c>
      <c r="CT76">
        <f t="shared" si="67"/>
        <v>710.6</v>
      </c>
      <c r="CU76">
        <f t="shared" si="68"/>
        <v>0</v>
      </c>
      <c r="CV76">
        <f t="shared" si="69"/>
        <v>3.44</v>
      </c>
      <c r="CW76">
        <f t="shared" si="70"/>
        <v>0</v>
      </c>
      <c r="CX76">
        <f t="shared" si="71"/>
        <v>0</v>
      </c>
      <c r="CY76">
        <f t="shared" si="72"/>
        <v>9550.4639999999999</v>
      </c>
      <c r="CZ76">
        <f t="shared" si="73"/>
        <v>1364.3520000000001</v>
      </c>
      <c r="DC76" t="s">
        <v>3</v>
      </c>
      <c r="DD76" t="s">
        <v>3</v>
      </c>
      <c r="DE76" t="s">
        <v>3</v>
      </c>
      <c r="DF76" t="s">
        <v>3</v>
      </c>
      <c r="DG76" t="s">
        <v>3</v>
      </c>
      <c r="DH76" t="s">
        <v>3</v>
      </c>
      <c r="DI76" t="s">
        <v>3</v>
      </c>
      <c r="DJ76" t="s">
        <v>3</v>
      </c>
      <c r="DK76" t="s">
        <v>3</v>
      </c>
      <c r="DL76" t="s">
        <v>3</v>
      </c>
      <c r="DM76" t="s">
        <v>3</v>
      </c>
      <c r="DN76">
        <v>0</v>
      </c>
      <c r="DO76">
        <v>0</v>
      </c>
      <c r="DP76">
        <v>1</v>
      </c>
      <c r="DQ76">
        <v>1</v>
      </c>
      <c r="DU76">
        <v>1007</v>
      </c>
      <c r="DV76" t="s">
        <v>35</v>
      </c>
      <c r="DW76" t="s">
        <v>35</v>
      </c>
      <c r="DX76">
        <v>1</v>
      </c>
      <c r="EE76">
        <v>38447819</v>
      </c>
      <c r="EF76">
        <v>1</v>
      </c>
      <c r="EG76" t="s">
        <v>23</v>
      </c>
      <c r="EH76">
        <v>0</v>
      </c>
      <c r="EI76" t="s">
        <v>3</v>
      </c>
      <c r="EJ76">
        <v>4</v>
      </c>
      <c r="EK76">
        <v>0</v>
      </c>
      <c r="EL76" t="s">
        <v>24</v>
      </c>
      <c r="EM76" t="s">
        <v>25</v>
      </c>
      <c r="EO76" t="s">
        <v>3</v>
      </c>
      <c r="EQ76">
        <v>0</v>
      </c>
      <c r="ER76">
        <v>1656.49</v>
      </c>
      <c r="ES76">
        <v>661.67</v>
      </c>
      <c r="ET76">
        <v>284.22000000000003</v>
      </c>
      <c r="EU76">
        <v>161.78</v>
      </c>
      <c r="EV76">
        <v>710.6</v>
      </c>
      <c r="EW76">
        <v>3.44</v>
      </c>
      <c r="EX76">
        <v>0</v>
      </c>
      <c r="EY76">
        <v>0</v>
      </c>
      <c r="FQ76">
        <v>0</v>
      </c>
      <c r="FR76">
        <f t="shared" si="74"/>
        <v>0</v>
      </c>
      <c r="FS76">
        <v>0</v>
      </c>
      <c r="FX76">
        <v>70</v>
      </c>
      <c r="FY76">
        <v>10</v>
      </c>
      <c r="GA76" t="s">
        <v>3</v>
      </c>
      <c r="GD76">
        <v>0</v>
      </c>
      <c r="GF76">
        <v>682657772</v>
      </c>
      <c r="GG76">
        <v>2</v>
      </c>
      <c r="GH76">
        <v>1</v>
      </c>
      <c r="GI76">
        <v>-2</v>
      </c>
      <c r="GJ76">
        <v>0</v>
      </c>
      <c r="GK76">
        <f>ROUND(R76*(R12)/100,2)</f>
        <v>3354.67</v>
      </c>
      <c r="GL76">
        <f t="shared" si="75"/>
        <v>0</v>
      </c>
      <c r="GM76">
        <f t="shared" si="76"/>
        <v>46074.080000000002</v>
      </c>
      <c r="GN76">
        <f t="shared" si="77"/>
        <v>0</v>
      </c>
      <c r="GO76">
        <f t="shared" si="78"/>
        <v>0</v>
      </c>
      <c r="GP76">
        <f t="shared" si="79"/>
        <v>46074.080000000002</v>
      </c>
      <c r="GR76">
        <v>0</v>
      </c>
      <c r="GS76">
        <v>3</v>
      </c>
      <c r="GT76">
        <v>0</v>
      </c>
      <c r="GU76" t="s">
        <v>3</v>
      </c>
      <c r="GV76">
        <f t="shared" si="80"/>
        <v>0</v>
      </c>
      <c r="GW76">
        <v>1</v>
      </c>
      <c r="GX76">
        <f t="shared" si="81"/>
        <v>0</v>
      </c>
      <c r="HA76">
        <v>0</v>
      </c>
      <c r="HB76">
        <v>0</v>
      </c>
      <c r="HC76">
        <f t="shared" si="82"/>
        <v>0</v>
      </c>
      <c r="HE76" t="s">
        <v>3</v>
      </c>
      <c r="HF76" t="s">
        <v>3</v>
      </c>
      <c r="IK76">
        <v>0</v>
      </c>
    </row>
    <row r="77" spans="1:245" x14ac:dyDescent="0.2">
      <c r="A77">
        <v>17</v>
      </c>
      <c r="B77">
        <v>1</v>
      </c>
      <c r="C77">
        <f>ROW(SmtRes!A31)</f>
        <v>31</v>
      </c>
      <c r="D77">
        <f>ROW(EtalonRes!A30)</f>
        <v>30</v>
      </c>
      <c r="E77" t="s">
        <v>118</v>
      </c>
      <c r="F77" t="s">
        <v>119</v>
      </c>
      <c r="G77" t="s">
        <v>120</v>
      </c>
      <c r="H77" t="s">
        <v>121</v>
      </c>
      <c r="I77">
        <v>56</v>
      </c>
      <c r="J77">
        <v>0</v>
      </c>
      <c r="O77">
        <f t="shared" si="43"/>
        <v>32945.360000000001</v>
      </c>
      <c r="P77">
        <f t="shared" si="44"/>
        <v>16846.48</v>
      </c>
      <c r="Q77">
        <f t="shared" si="45"/>
        <v>0</v>
      </c>
      <c r="R77">
        <f t="shared" si="46"/>
        <v>0</v>
      </c>
      <c r="S77">
        <f t="shared" si="47"/>
        <v>16098.88</v>
      </c>
      <c r="T77">
        <f t="shared" si="48"/>
        <v>0</v>
      </c>
      <c r="U77">
        <f t="shared" si="49"/>
        <v>64.399999999999991</v>
      </c>
      <c r="V77">
        <f t="shared" si="50"/>
        <v>0</v>
      </c>
      <c r="W77">
        <f t="shared" si="51"/>
        <v>0</v>
      </c>
      <c r="X77">
        <f t="shared" si="52"/>
        <v>11269.22</v>
      </c>
      <c r="Y77">
        <f t="shared" si="53"/>
        <v>1609.89</v>
      </c>
      <c r="AA77">
        <v>38799519</v>
      </c>
      <c r="AB77">
        <f t="shared" si="54"/>
        <v>588.30999999999995</v>
      </c>
      <c r="AC77">
        <f t="shared" si="55"/>
        <v>300.83</v>
      </c>
      <c r="AD77">
        <f t="shared" si="56"/>
        <v>0</v>
      </c>
      <c r="AE77">
        <f t="shared" si="57"/>
        <v>0</v>
      </c>
      <c r="AF77">
        <f t="shared" si="58"/>
        <v>287.48</v>
      </c>
      <c r="AG77">
        <f t="shared" si="59"/>
        <v>0</v>
      </c>
      <c r="AH77">
        <f t="shared" si="60"/>
        <v>1.1499999999999999</v>
      </c>
      <c r="AI77">
        <f t="shared" si="61"/>
        <v>0</v>
      </c>
      <c r="AJ77">
        <f t="shared" si="62"/>
        <v>0</v>
      </c>
      <c r="AK77">
        <v>588.30999999999995</v>
      </c>
      <c r="AL77">
        <v>300.83</v>
      </c>
      <c r="AM77">
        <v>0</v>
      </c>
      <c r="AN77">
        <v>0</v>
      </c>
      <c r="AO77">
        <v>287.48</v>
      </c>
      <c r="AP77">
        <v>0</v>
      </c>
      <c r="AQ77">
        <v>1.1499999999999999</v>
      </c>
      <c r="AR77">
        <v>0</v>
      </c>
      <c r="AS77">
        <v>0</v>
      </c>
      <c r="AT77">
        <v>70</v>
      </c>
      <c r="AU77">
        <v>10</v>
      </c>
      <c r="AV77">
        <v>1</v>
      </c>
      <c r="AW77">
        <v>1</v>
      </c>
      <c r="AZ77">
        <v>1</v>
      </c>
      <c r="BA77">
        <v>1</v>
      </c>
      <c r="BB77">
        <v>1</v>
      </c>
      <c r="BC77">
        <v>1</v>
      </c>
      <c r="BD77" t="s">
        <v>3</v>
      </c>
      <c r="BE77" t="s">
        <v>3</v>
      </c>
      <c r="BF77" t="s">
        <v>3</v>
      </c>
      <c r="BG77" t="s">
        <v>3</v>
      </c>
      <c r="BH77">
        <v>0</v>
      </c>
      <c r="BI77">
        <v>4</v>
      </c>
      <c r="BJ77" t="s">
        <v>122</v>
      </c>
      <c r="BM77">
        <v>0</v>
      </c>
      <c r="BN77">
        <v>0</v>
      </c>
      <c r="BO77" t="s">
        <v>3</v>
      </c>
      <c r="BP77">
        <v>0</v>
      </c>
      <c r="BQ77">
        <v>1</v>
      </c>
      <c r="BR77">
        <v>0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 t="s">
        <v>3</v>
      </c>
      <c r="BZ77">
        <v>70</v>
      </c>
      <c r="CA77">
        <v>10</v>
      </c>
      <c r="CE77">
        <v>0</v>
      </c>
      <c r="CF77">
        <v>0</v>
      </c>
      <c r="CG77">
        <v>0</v>
      </c>
      <c r="CM77">
        <v>0</v>
      </c>
      <c r="CN77" t="s">
        <v>3</v>
      </c>
      <c r="CO77">
        <v>0</v>
      </c>
      <c r="CP77">
        <f t="shared" si="63"/>
        <v>32945.360000000001</v>
      </c>
      <c r="CQ77">
        <f t="shared" si="64"/>
        <v>300.83</v>
      </c>
      <c r="CR77">
        <f t="shared" si="65"/>
        <v>0</v>
      </c>
      <c r="CS77">
        <f t="shared" si="66"/>
        <v>0</v>
      </c>
      <c r="CT77">
        <f t="shared" si="67"/>
        <v>287.48</v>
      </c>
      <c r="CU77">
        <f t="shared" si="68"/>
        <v>0</v>
      </c>
      <c r="CV77">
        <f t="shared" si="69"/>
        <v>1.1499999999999999</v>
      </c>
      <c r="CW77">
        <f t="shared" si="70"/>
        <v>0</v>
      </c>
      <c r="CX77">
        <f t="shared" si="71"/>
        <v>0</v>
      </c>
      <c r="CY77">
        <f t="shared" si="72"/>
        <v>11269.215999999999</v>
      </c>
      <c r="CZ77">
        <f t="shared" si="73"/>
        <v>1609.8879999999999</v>
      </c>
      <c r="DC77" t="s">
        <v>3</v>
      </c>
      <c r="DD77" t="s">
        <v>3</v>
      </c>
      <c r="DE77" t="s">
        <v>3</v>
      </c>
      <c r="DF77" t="s">
        <v>3</v>
      </c>
      <c r="DG77" t="s">
        <v>3</v>
      </c>
      <c r="DH77" t="s">
        <v>3</v>
      </c>
      <c r="DI77" t="s">
        <v>3</v>
      </c>
      <c r="DJ77" t="s">
        <v>3</v>
      </c>
      <c r="DK77" t="s">
        <v>3</v>
      </c>
      <c r="DL77" t="s">
        <v>3</v>
      </c>
      <c r="DM77" t="s">
        <v>3</v>
      </c>
      <c r="DN77">
        <v>0</v>
      </c>
      <c r="DO77">
        <v>0</v>
      </c>
      <c r="DP77">
        <v>1</v>
      </c>
      <c r="DQ77">
        <v>1</v>
      </c>
      <c r="DU77">
        <v>1003</v>
      </c>
      <c r="DV77" t="s">
        <v>121</v>
      </c>
      <c r="DW77" t="s">
        <v>121</v>
      </c>
      <c r="DX77">
        <v>1</v>
      </c>
      <c r="EE77">
        <v>38447819</v>
      </c>
      <c r="EF77">
        <v>1</v>
      </c>
      <c r="EG77" t="s">
        <v>23</v>
      </c>
      <c r="EH77">
        <v>0</v>
      </c>
      <c r="EI77" t="s">
        <v>3</v>
      </c>
      <c r="EJ77">
        <v>4</v>
      </c>
      <c r="EK77">
        <v>0</v>
      </c>
      <c r="EL77" t="s">
        <v>24</v>
      </c>
      <c r="EM77" t="s">
        <v>25</v>
      </c>
      <c r="EO77" t="s">
        <v>3</v>
      </c>
      <c r="EQ77">
        <v>0</v>
      </c>
      <c r="ER77">
        <v>588.30999999999995</v>
      </c>
      <c r="ES77">
        <v>300.83</v>
      </c>
      <c r="ET77">
        <v>0</v>
      </c>
      <c r="EU77">
        <v>0</v>
      </c>
      <c r="EV77">
        <v>287.48</v>
      </c>
      <c r="EW77">
        <v>1.1499999999999999</v>
      </c>
      <c r="EX77">
        <v>0</v>
      </c>
      <c r="EY77">
        <v>0</v>
      </c>
      <c r="FQ77">
        <v>0</v>
      </c>
      <c r="FR77">
        <f t="shared" si="74"/>
        <v>0</v>
      </c>
      <c r="FS77">
        <v>0</v>
      </c>
      <c r="FX77">
        <v>70</v>
      </c>
      <c r="FY77">
        <v>10</v>
      </c>
      <c r="GA77" t="s">
        <v>3</v>
      </c>
      <c r="GD77">
        <v>0</v>
      </c>
      <c r="GF77">
        <v>667873665</v>
      </c>
      <c r="GG77">
        <v>2</v>
      </c>
      <c r="GH77">
        <v>1</v>
      </c>
      <c r="GI77">
        <v>-2</v>
      </c>
      <c r="GJ77">
        <v>0</v>
      </c>
      <c r="GK77">
        <f>ROUND(R77*(R12)/100,2)</f>
        <v>0</v>
      </c>
      <c r="GL77">
        <f t="shared" si="75"/>
        <v>0</v>
      </c>
      <c r="GM77">
        <f t="shared" si="76"/>
        <v>45824.47</v>
      </c>
      <c r="GN77">
        <f t="shared" si="77"/>
        <v>0</v>
      </c>
      <c r="GO77">
        <f t="shared" si="78"/>
        <v>0</v>
      </c>
      <c r="GP77">
        <f t="shared" si="79"/>
        <v>45824.47</v>
      </c>
      <c r="GR77">
        <v>0</v>
      </c>
      <c r="GS77">
        <v>3</v>
      </c>
      <c r="GT77">
        <v>0</v>
      </c>
      <c r="GU77" t="s">
        <v>3</v>
      </c>
      <c r="GV77">
        <f t="shared" si="80"/>
        <v>0</v>
      </c>
      <c r="GW77">
        <v>1</v>
      </c>
      <c r="GX77">
        <f t="shared" si="81"/>
        <v>0</v>
      </c>
      <c r="HA77">
        <v>0</v>
      </c>
      <c r="HB77">
        <v>0</v>
      </c>
      <c r="HC77">
        <f t="shared" si="82"/>
        <v>0</v>
      </c>
      <c r="HE77" t="s">
        <v>3</v>
      </c>
      <c r="HF77" t="s">
        <v>3</v>
      </c>
      <c r="IK77">
        <v>0</v>
      </c>
    </row>
    <row r="78" spans="1:245" x14ac:dyDescent="0.2">
      <c r="A78">
        <v>18</v>
      </c>
      <c r="B78">
        <v>1</v>
      </c>
      <c r="C78">
        <v>31</v>
      </c>
      <c r="E78" t="s">
        <v>123</v>
      </c>
      <c r="F78" t="s">
        <v>124</v>
      </c>
      <c r="G78" t="s">
        <v>125</v>
      </c>
      <c r="H78" t="s">
        <v>35</v>
      </c>
      <c r="I78">
        <f>I77*J78</f>
        <v>0.7</v>
      </c>
      <c r="J78">
        <v>1.2499999999999999E-2</v>
      </c>
      <c r="O78">
        <f t="shared" si="43"/>
        <v>6310.43</v>
      </c>
      <c r="P78">
        <f t="shared" si="44"/>
        <v>6310.43</v>
      </c>
      <c r="Q78">
        <f t="shared" si="45"/>
        <v>0</v>
      </c>
      <c r="R78">
        <f t="shared" si="46"/>
        <v>0</v>
      </c>
      <c r="S78">
        <f t="shared" si="47"/>
        <v>0</v>
      </c>
      <c r="T78">
        <f t="shared" si="48"/>
        <v>0</v>
      </c>
      <c r="U78">
        <f t="shared" si="49"/>
        <v>0</v>
      </c>
      <c r="V78">
        <f t="shared" si="50"/>
        <v>0</v>
      </c>
      <c r="W78">
        <f t="shared" si="51"/>
        <v>0</v>
      </c>
      <c r="X78">
        <f t="shared" si="52"/>
        <v>0</v>
      </c>
      <c r="Y78">
        <f t="shared" si="53"/>
        <v>0</v>
      </c>
      <c r="AA78">
        <v>38799519</v>
      </c>
      <c r="AB78">
        <f t="shared" si="54"/>
        <v>9014.9</v>
      </c>
      <c r="AC78">
        <f t="shared" si="55"/>
        <v>9014.9</v>
      </c>
      <c r="AD78">
        <f t="shared" si="56"/>
        <v>0</v>
      </c>
      <c r="AE78">
        <f t="shared" si="57"/>
        <v>0</v>
      </c>
      <c r="AF78">
        <f t="shared" si="58"/>
        <v>0</v>
      </c>
      <c r="AG78">
        <f t="shared" si="59"/>
        <v>0</v>
      </c>
      <c r="AH78">
        <f t="shared" si="60"/>
        <v>0</v>
      </c>
      <c r="AI78">
        <f t="shared" si="61"/>
        <v>0</v>
      </c>
      <c r="AJ78">
        <f t="shared" si="62"/>
        <v>0</v>
      </c>
      <c r="AK78">
        <v>9014.9</v>
      </c>
      <c r="AL78">
        <v>9014.9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70</v>
      </c>
      <c r="AU78">
        <v>10</v>
      </c>
      <c r="AV78">
        <v>1</v>
      </c>
      <c r="AW78">
        <v>1</v>
      </c>
      <c r="AZ78">
        <v>1</v>
      </c>
      <c r="BA78">
        <v>1</v>
      </c>
      <c r="BB78">
        <v>1</v>
      </c>
      <c r="BC78">
        <v>1</v>
      </c>
      <c r="BD78" t="s">
        <v>3</v>
      </c>
      <c r="BE78" t="s">
        <v>3</v>
      </c>
      <c r="BF78" t="s">
        <v>3</v>
      </c>
      <c r="BG78" t="s">
        <v>3</v>
      </c>
      <c r="BH78">
        <v>3</v>
      </c>
      <c r="BI78">
        <v>4</v>
      </c>
      <c r="BJ78" t="s">
        <v>126</v>
      </c>
      <c r="BM78">
        <v>0</v>
      </c>
      <c r="BN78">
        <v>0</v>
      </c>
      <c r="BO78" t="s">
        <v>3</v>
      </c>
      <c r="BP78">
        <v>0</v>
      </c>
      <c r="BQ78">
        <v>1</v>
      </c>
      <c r="BR78">
        <v>0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 t="s">
        <v>3</v>
      </c>
      <c r="BZ78">
        <v>70</v>
      </c>
      <c r="CA78">
        <v>10</v>
      </c>
      <c r="CE78">
        <v>0</v>
      </c>
      <c r="CF78">
        <v>0</v>
      </c>
      <c r="CG78">
        <v>0</v>
      </c>
      <c r="CM78">
        <v>0</v>
      </c>
      <c r="CN78" t="s">
        <v>3</v>
      </c>
      <c r="CO78">
        <v>0</v>
      </c>
      <c r="CP78">
        <f t="shared" si="63"/>
        <v>6310.43</v>
      </c>
      <c r="CQ78">
        <f t="shared" si="64"/>
        <v>9014.9</v>
      </c>
      <c r="CR78">
        <f t="shared" si="65"/>
        <v>0</v>
      </c>
      <c r="CS78">
        <f t="shared" si="66"/>
        <v>0</v>
      </c>
      <c r="CT78">
        <f t="shared" si="67"/>
        <v>0</v>
      </c>
      <c r="CU78">
        <f t="shared" si="68"/>
        <v>0</v>
      </c>
      <c r="CV78">
        <f t="shared" si="69"/>
        <v>0</v>
      </c>
      <c r="CW78">
        <f t="shared" si="70"/>
        <v>0</v>
      </c>
      <c r="CX78">
        <f t="shared" si="71"/>
        <v>0</v>
      </c>
      <c r="CY78">
        <f t="shared" si="72"/>
        <v>0</v>
      </c>
      <c r="CZ78">
        <f t="shared" si="73"/>
        <v>0</v>
      </c>
      <c r="DC78" t="s">
        <v>3</v>
      </c>
      <c r="DD78" t="s">
        <v>3</v>
      </c>
      <c r="DE78" t="s">
        <v>3</v>
      </c>
      <c r="DF78" t="s">
        <v>3</v>
      </c>
      <c r="DG78" t="s">
        <v>3</v>
      </c>
      <c r="DH78" t="s">
        <v>3</v>
      </c>
      <c r="DI78" t="s">
        <v>3</v>
      </c>
      <c r="DJ78" t="s">
        <v>3</v>
      </c>
      <c r="DK78" t="s">
        <v>3</v>
      </c>
      <c r="DL78" t="s">
        <v>3</v>
      </c>
      <c r="DM78" t="s">
        <v>3</v>
      </c>
      <c r="DN78">
        <v>0</v>
      </c>
      <c r="DO78">
        <v>0</v>
      </c>
      <c r="DP78">
        <v>1</v>
      </c>
      <c r="DQ78">
        <v>1</v>
      </c>
      <c r="DU78">
        <v>1007</v>
      </c>
      <c r="DV78" t="s">
        <v>35</v>
      </c>
      <c r="DW78" t="s">
        <v>35</v>
      </c>
      <c r="DX78">
        <v>1</v>
      </c>
      <c r="EE78">
        <v>38447819</v>
      </c>
      <c r="EF78">
        <v>1</v>
      </c>
      <c r="EG78" t="s">
        <v>23</v>
      </c>
      <c r="EH78">
        <v>0</v>
      </c>
      <c r="EI78" t="s">
        <v>3</v>
      </c>
      <c r="EJ78">
        <v>4</v>
      </c>
      <c r="EK78">
        <v>0</v>
      </c>
      <c r="EL78" t="s">
        <v>24</v>
      </c>
      <c r="EM78" t="s">
        <v>25</v>
      </c>
      <c r="EO78" t="s">
        <v>3</v>
      </c>
      <c r="EQ78">
        <v>0</v>
      </c>
      <c r="ER78">
        <v>9014.9</v>
      </c>
      <c r="ES78">
        <v>9014.9</v>
      </c>
      <c r="ET78">
        <v>0</v>
      </c>
      <c r="EU78">
        <v>0</v>
      </c>
      <c r="EV78">
        <v>0</v>
      </c>
      <c r="EW78">
        <v>0</v>
      </c>
      <c r="EX78">
        <v>0</v>
      </c>
      <c r="FQ78">
        <v>0</v>
      </c>
      <c r="FR78">
        <f t="shared" si="74"/>
        <v>0</v>
      </c>
      <c r="FS78">
        <v>0</v>
      </c>
      <c r="FX78">
        <v>70</v>
      </c>
      <c r="FY78">
        <v>10</v>
      </c>
      <c r="GA78" t="s">
        <v>3</v>
      </c>
      <c r="GD78">
        <v>0</v>
      </c>
      <c r="GF78">
        <v>858864401</v>
      </c>
      <c r="GG78">
        <v>2</v>
      </c>
      <c r="GH78">
        <v>1</v>
      </c>
      <c r="GI78">
        <v>-2</v>
      </c>
      <c r="GJ78">
        <v>0</v>
      </c>
      <c r="GK78">
        <f>ROUND(R78*(R12)/100,2)</f>
        <v>0</v>
      </c>
      <c r="GL78">
        <f t="shared" si="75"/>
        <v>0</v>
      </c>
      <c r="GM78">
        <f t="shared" si="76"/>
        <v>6310.43</v>
      </c>
      <c r="GN78">
        <f t="shared" si="77"/>
        <v>0</v>
      </c>
      <c r="GO78">
        <f t="shared" si="78"/>
        <v>0</v>
      </c>
      <c r="GP78">
        <f t="shared" si="79"/>
        <v>6310.43</v>
      </c>
      <c r="GR78">
        <v>0</v>
      </c>
      <c r="GS78">
        <v>3</v>
      </c>
      <c r="GT78">
        <v>0</v>
      </c>
      <c r="GU78" t="s">
        <v>3</v>
      </c>
      <c r="GV78">
        <f t="shared" si="80"/>
        <v>0</v>
      </c>
      <c r="GW78">
        <v>1</v>
      </c>
      <c r="GX78">
        <f t="shared" si="81"/>
        <v>0</v>
      </c>
      <c r="HA78">
        <v>0</v>
      </c>
      <c r="HB78">
        <v>0</v>
      </c>
      <c r="HC78">
        <f t="shared" si="82"/>
        <v>0</v>
      </c>
      <c r="HE78" t="s">
        <v>3</v>
      </c>
      <c r="HF78" t="s">
        <v>3</v>
      </c>
      <c r="IK78">
        <v>0</v>
      </c>
    </row>
    <row r="79" spans="1:245" x14ac:dyDescent="0.2">
      <c r="A79">
        <v>17</v>
      </c>
      <c r="B79">
        <v>1</v>
      </c>
      <c r="C79">
        <f>ROW(SmtRes!A37)</f>
        <v>37</v>
      </c>
      <c r="D79">
        <f>ROW(EtalonRes!A36)</f>
        <v>36</v>
      </c>
      <c r="E79" t="s">
        <v>127</v>
      </c>
      <c r="F79" t="s">
        <v>128</v>
      </c>
      <c r="G79" t="s">
        <v>129</v>
      </c>
      <c r="H79" t="s">
        <v>35</v>
      </c>
      <c r="I79">
        <v>14.4</v>
      </c>
      <c r="J79">
        <v>0</v>
      </c>
      <c r="O79">
        <f t="shared" si="43"/>
        <v>51073.2</v>
      </c>
      <c r="P79">
        <f t="shared" si="44"/>
        <v>23455.58</v>
      </c>
      <c r="Q79">
        <f t="shared" si="45"/>
        <v>16048.08</v>
      </c>
      <c r="R79">
        <f t="shared" si="46"/>
        <v>9134.5</v>
      </c>
      <c r="S79">
        <f t="shared" si="47"/>
        <v>11569.54</v>
      </c>
      <c r="T79">
        <f t="shared" si="48"/>
        <v>0</v>
      </c>
      <c r="U79">
        <f t="shared" si="49"/>
        <v>53.712000000000003</v>
      </c>
      <c r="V79">
        <f t="shared" si="50"/>
        <v>0</v>
      </c>
      <c r="W79">
        <f t="shared" si="51"/>
        <v>0</v>
      </c>
      <c r="X79">
        <f t="shared" si="52"/>
        <v>8098.68</v>
      </c>
      <c r="Y79">
        <f t="shared" si="53"/>
        <v>1156.95</v>
      </c>
      <c r="AA79">
        <v>38799519</v>
      </c>
      <c r="AB79">
        <f t="shared" si="54"/>
        <v>3546.75</v>
      </c>
      <c r="AC79">
        <f t="shared" si="55"/>
        <v>1628.86</v>
      </c>
      <c r="AD79">
        <f t="shared" si="56"/>
        <v>1114.45</v>
      </c>
      <c r="AE79">
        <f t="shared" si="57"/>
        <v>634.34</v>
      </c>
      <c r="AF79">
        <f t="shared" si="58"/>
        <v>803.44</v>
      </c>
      <c r="AG79">
        <f t="shared" si="59"/>
        <v>0</v>
      </c>
      <c r="AH79">
        <f t="shared" si="60"/>
        <v>3.73</v>
      </c>
      <c r="AI79">
        <f t="shared" si="61"/>
        <v>0</v>
      </c>
      <c r="AJ79">
        <f t="shared" si="62"/>
        <v>0</v>
      </c>
      <c r="AK79">
        <v>3546.75</v>
      </c>
      <c r="AL79">
        <v>1628.86</v>
      </c>
      <c r="AM79">
        <v>1114.45</v>
      </c>
      <c r="AN79">
        <v>634.34</v>
      </c>
      <c r="AO79">
        <v>803.44</v>
      </c>
      <c r="AP79">
        <v>0</v>
      </c>
      <c r="AQ79">
        <v>3.73</v>
      </c>
      <c r="AR79">
        <v>0</v>
      </c>
      <c r="AS79">
        <v>0</v>
      </c>
      <c r="AT79">
        <v>70</v>
      </c>
      <c r="AU79">
        <v>10</v>
      </c>
      <c r="AV79">
        <v>1</v>
      </c>
      <c r="AW79">
        <v>1</v>
      </c>
      <c r="AZ79">
        <v>1</v>
      </c>
      <c r="BA79">
        <v>1</v>
      </c>
      <c r="BB79">
        <v>1</v>
      </c>
      <c r="BC79">
        <v>1</v>
      </c>
      <c r="BD79" t="s">
        <v>3</v>
      </c>
      <c r="BE79" t="s">
        <v>3</v>
      </c>
      <c r="BF79" t="s">
        <v>3</v>
      </c>
      <c r="BG79" t="s">
        <v>3</v>
      </c>
      <c r="BH79">
        <v>0</v>
      </c>
      <c r="BI79">
        <v>4</v>
      </c>
      <c r="BJ79" t="s">
        <v>130</v>
      </c>
      <c r="BM79">
        <v>0</v>
      </c>
      <c r="BN79">
        <v>0</v>
      </c>
      <c r="BO79" t="s">
        <v>3</v>
      </c>
      <c r="BP79">
        <v>0</v>
      </c>
      <c r="BQ79">
        <v>1</v>
      </c>
      <c r="BR79">
        <v>0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 t="s">
        <v>3</v>
      </c>
      <c r="BZ79">
        <v>70</v>
      </c>
      <c r="CA79">
        <v>10</v>
      </c>
      <c r="CE79">
        <v>0</v>
      </c>
      <c r="CF79">
        <v>0</v>
      </c>
      <c r="CG79">
        <v>0</v>
      </c>
      <c r="CM79">
        <v>0</v>
      </c>
      <c r="CN79" t="s">
        <v>3</v>
      </c>
      <c r="CO79">
        <v>0</v>
      </c>
      <c r="CP79">
        <f t="shared" si="63"/>
        <v>51073.200000000004</v>
      </c>
      <c r="CQ79">
        <f t="shared" si="64"/>
        <v>1628.86</v>
      </c>
      <c r="CR79">
        <f t="shared" si="65"/>
        <v>1114.45</v>
      </c>
      <c r="CS79">
        <f t="shared" si="66"/>
        <v>634.34</v>
      </c>
      <c r="CT79">
        <f t="shared" si="67"/>
        <v>803.44</v>
      </c>
      <c r="CU79">
        <f t="shared" si="68"/>
        <v>0</v>
      </c>
      <c r="CV79">
        <f t="shared" si="69"/>
        <v>3.73</v>
      </c>
      <c r="CW79">
        <f t="shared" si="70"/>
        <v>0</v>
      </c>
      <c r="CX79">
        <f t="shared" si="71"/>
        <v>0</v>
      </c>
      <c r="CY79">
        <f t="shared" si="72"/>
        <v>8098.6780000000008</v>
      </c>
      <c r="CZ79">
        <f t="shared" si="73"/>
        <v>1156.9540000000002</v>
      </c>
      <c r="DC79" t="s">
        <v>3</v>
      </c>
      <c r="DD79" t="s">
        <v>3</v>
      </c>
      <c r="DE79" t="s">
        <v>3</v>
      </c>
      <c r="DF79" t="s">
        <v>3</v>
      </c>
      <c r="DG79" t="s">
        <v>3</v>
      </c>
      <c r="DH79" t="s">
        <v>3</v>
      </c>
      <c r="DI79" t="s">
        <v>3</v>
      </c>
      <c r="DJ79" t="s">
        <v>3</v>
      </c>
      <c r="DK79" t="s">
        <v>3</v>
      </c>
      <c r="DL79" t="s">
        <v>3</v>
      </c>
      <c r="DM79" t="s">
        <v>3</v>
      </c>
      <c r="DN79">
        <v>0</v>
      </c>
      <c r="DO79">
        <v>0</v>
      </c>
      <c r="DP79">
        <v>1</v>
      </c>
      <c r="DQ79">
        <v>1</v>
      </c>
      <c r="DU79">
        <v>1007</v>
      </c>
      <c r="DV79" t="s">
        <v>35</v>
      </c>
      <c r="DW79" t="s">
        <v>35</v>
      </c>
      <c r="DX79">
        <v>1</v>
      </c>
      <c r="EE79">
        <v>38447819</v>
      </c>
      <c r="EF79">
        <v>1</v>
      </c>
      <c r="EG79" t="s">
        <v>23</v>
      </c>
      <c r="EH79">
        <v>0</v>
      </c>
      <c r="EI79" t="s">
        <v>3</v>
      </c>
      <c r="EJ79">
        <v>4</v>
      </c>
      <c r="EK79">
        <v>0</v>
      </c>
      <c r="EL79" t="s">
        <v>24</v>
      </c>
      <c r="EM79" t="s">
        <v>25</v>
      </c>
      <c r="EO79" t="s">
        <v>3</v>
      </c>
      <c r="EQ79">
        <v>0</v>
      </c>
      <c r="ER79">
        <v>3546.75</v>
      </c>
      <c r="ES79">
        <v>1628.86</v>
      </c>
      <c r="ET79">
        <v>1114.45</v>
      </c>
      <c r="EU79">
        <v>634.34</v>
      </c>
      <c r="EV79">
        <v>803.44</v>
      </c>
      <c r="EW79">
        <v>3.73</v>
      </c>
      <c r="EX79">
        <v>0</v>
      </c>
      <c r="EY79">
        <v>0</v>
      </c>
      <c r="FQ79">
        <v>0</v>
      </c>
      <c r="FR79">
        <f t="shared" si="74"/>
        <v>0</v>
      </c>
      <c r="FS79">
        <v>0</v>
      </c>
      <c r="FX79">
        <v>70</v>
      </c>
      <c r="FY79">
        <v>10</v>
      </c>
      <c r="GA79" t="s">
        <v>3</v>
      </c>
      <c r="GD79">
        <v>0</v>
      </c>
      <c r="GF79">
        <v>-1126095436</v>
      </c>
      <c r="GG79">
        <v>2</v>
      </c>
      <c r="GH79">
        <v>1</v>
      </c>
      <c r="GI79">
        <v>-2</v>
      </c>
      <c r="GJ79">
        <v>0</v>
      </c>
      <c r="GK79">
        <f>ROUND(R79*(R12)/100,2)</f>
        <v>9865.26</v>
      </c>
      <c r="GL79">
        <f t="shared" si="75"/>
        <v>0</v>
      </c>
      <c r="GM79">
        <f t="shared" si="76"/>
        <v>70194.09</v>
      </c>
      <c r="GN79">
        <f t="shared" si="77"/>
        <v>0</v>
      </c>
      <c r="GO79">
        <f t="shared" si="78"/>
        <v>0</v>
      </c>
      <c r="GP79">
        <f t="shared" si="79"/>
        <v>70194.09</v>
      </c>
      <c r="GR79">
        <v>0</v>
      </c>
      <c r="GS79">
        <v>3</v>
      </c>
      <c r="GT79">
        <v>0</v>
      </c>
      <c r="GU79" t="s">
        <v>3</v>
      </c>
      <c r="GV79">
        <f t="shared" si="80"/>
        <v>0</v>
      </c>
      <c r="GW79">
        <v>1</v>
      </c>
      <c r="GX79">
        <f t="shared" si="81"/>
        <v>0</v>
      </c>
      <c r="HA79">
        <v>0</v>
      </c>
      <c r="HB79">
        <v>0</v>
      </c>
      <c r="HC79">
        <f t="shared" si="82"/>
        <v>0</v>
      </c>
      <c r="HE79" t="s">
        <v>3</v>
      </c>
      <c r="HF79" t="s">
        <v>3</v>
      </c>
      <c r="IK79">
        <v>0</v>
      </c>
    </row>
    <row r="80" spans="1:245" x14ac:dyDescent="0.2">
      <c r="A80">
        <v>17</v>
      </c>
      <c r="B80">
        <v>1</v>
      </c>
      <c r="C80">
        <f>ROW(SmtRes!A44)</f>
        <v>44</v>
      </c>
      <c r="D80">
        <f>ROW(EtalonRes!A43)</f>
        <v>43</v>
      </c>
      <c r="E80" t="s">
        <v>131</v>
      </c>
      <c r="F80" t="s">
        <v>132</v>
      </c>
      <c r="G80" t="s">
        <v>133</v>
      </c>
      <c r="H80" t="s">
        <v>19</v>
      </c>
      <c r="I80">
        <f>ROUND(96/100,9)</f>
        <v>0.96</v>
      </c>
      <c r="J80">
        <v>0</v>
      </c>
      <c r="O80">
        <f t="shared" si="43"/>
        <v>21771.83</v>
      </c>
      <c r="P80">
        <f t="shared" si="44"/>
        <v>16714.61</v>
      </c>
      <c r="Q80">
        <f t="shared" si="45"/>
        <v>1934.2</v>
      </c>
      <c r="R80">
        <f t="shared" si="46"/>
        <v>1159.71</v>
      </c>
      <c r="S80">
        <f t="shared" si="47"/>
        <v>3123.02</v>
      </c>
      <c r="T80">
        <f t="shared" si="48"/>
        <v>0</v>
      </c>
      <c r="U80">
        <f t="shared" si="49"/>
        <v>15.782400000000001</v>
      </c>
      <c r="V80">
        <f t="shared" si="50"/>
        <v>0</v>
      </c>
      <c r="W80">
        <f t="shared" si="51"/>
        <v>0</v>
      </c>
      <c r="X80">
        <f t="shared" si="52"/>
        <v>2186.11</v>
      </c>
      <c r="Y80">
        <f t="shared" si="53"/>
        <v>312.3</v>
      </c>
      <c r="AA80">
        <v>38799519</v>
      </c>
      <c r="AB80">
        <f t="shared" si="54"/>
        <v>22678.99</v>
      </c>
      <c r="AC80">
        <f t="shared" si="55"/>
        <v>17411.05</v>
      </c>
      <c r="AD80">
        <f t="shared" si="56"/>
        <v>2014.79</v>
      </c>
      <c r="AE80">
        <f t="shared" si="57"/>
        <v>1208.03</v>
      </c>
      <c r="AF80">
        <f t="shared" si="58"/>
        <v>3253.15</v>
      </c>
      <c r="AG80">
        <f t="shared" si="59"/>
        <v>0</v>
      </c>
      <c r="AH80">
        <f t="shared" si="60"/>
        <v>16.440000000000001</v>
      </c>
      <c r="AI80">
        <f t="shared" si="61"/>
        <v>0</v>
      </c>
      <c r="AJ80">
        <f t="shared" si="62"/>
        <v>0</v>
      </c>
      <c r="AK80">
        <v>22678.99</v>
      </c>
      <c r="AL80">
        <v>17411.05</v>
      </c>
      <c r="AM80">
        <v>2014.79</v>
      </c>
      <c r="AN80">
        <v>1208.03</v>
      </c>
      <c r="AO80">
        <v>3253.15</v>
      </c>
      <c r="AP80">
        <v>0</v>
      </c>
      <c r="AQ80">
        <v>16.440000000000001</v>
      </c>
      <c r="AR80">
        <v>0</v>
      </c>
      <c r="AS80">
        <v>0</v>
      </c>
      <c r="AT80">
        <v>70</v>
      </c>
      <c r="AU80">
        <v>10</v>
      </c>
      <c r="AV80">
        <v>1</v>
      </c>
      <c r="AW80">
        <v>1</v>
      </c>
      <c r="AZ80">
        <v>1</v>
      </c>
      <c r="BA80">
        <v>1</v>
      </c>
      <c r="BB80">
        <v>1</v>
      </c>
      <c r="BC80">
        <v>1</v>
      </c>
      <c r="BD80" t="s">
        <v>3</v>
      </c>
      <c r="BE80" t="s">
        <v>3</v>
      </c>
      <c r="BF80" t="s">
        <v>3</v>
      </c>
      <c r="BG80" t="s">
        <v>3</v>
      </c>
      <c r="BH80">
        <v>0</v>
      </c>
      <c r="BI80">
        <v>4</v>
      </c>
      <c r="BJ80" t="s">
        <v>134</v>
      </c>
      <c r="BM80">
        <v>0</v>
      </c>
      <c r="BN80">
        <v>0</v>
      </c>
      <c r="BO80" t="s">
        <v>3</v>
      </c>
      <c r="BP80">
        <v>0</v>
      </c>
      <c r="BQ80">
        <v>1</v>
      </c>
      <c r="BR80">
        <v>0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 t="s">
        <v>3</v>
      </c>
      <c r="BZ80">
        <v>70</v>
      </c>
      <c r="CA80">
        <v>10</v>
      </c>
      <c r="CE80">
        <v>0</v>
      </c>
      <c r="CF80">
        <v>0</v>
      </c>
      <c r="CG80">
        <v>0</v>
      </c>
      <c r="CM80">
        <v>0</v>
      </c>
      <c r="CN80" t="s">
        <v>3</v>
      </c>
      <c r="CO80">
        <v>0</v>
      </c>
      <c r="CP80">
        <f t="shared" si="63"/>
        <v>21771.83</v>
      </c>
      <c r="CQ80">
        <f t="shared" si="64"/>
        <v>17411.05</v>
      </c>
      <c r="CR80">
        <f t="shared" si="65"/>
        <v>2014.79</v>
      </c>
      <c r="CS80">
        <f t="shared" si="66"/>
        <v>1208.03</v>
      </c>
      <c r="CT80">
        <f t="shared" si="67"/>
        <v>3253.15</v>
      </c>
      <c r="CU80">
        <f t="shared" si="68"/>
        <v>0</v>
      </c>
      <c r="CV80">
        <f t="shared" si="69"/>
        <v>16.440000000000001</v>
      </c>
      <c r="CW80">
        <f t="shared" si="70"/>
        <v>0</v>
      </c>
      <c r="CX80">
        <f t="shared" si="71"/>
        <v>0</v>
      </c>
      <c r="CY80">
        <f t="shared" si="72"/>
        <v>2186.114</v>
      </c>
      <c r="CZ80">
        <f t="shared" si="73"/>
        <v>312.30200000000002</v>
      </c>
      <c r="DC80" t="s">
        <v>3</v>
      </c>
      <c r="DD80" t="s">
        <v>3</v>
      </c>
      <c r="DE80" t="s">
        <v>3</v>
      </c>
      <c r="DF80" t="s">
        <v>3</v>
      </c>
      <c r="DG80" t="s">
        <v>3</v>
      </c>
      <c r="DH80" t="s">
        <v>3</v>
      </c>
      <c r="DI80" t="s">
        <v>3</v>
      </c>
      <c r="DJ80" t="s">
        <v>3</v>
      </c>
      <c r="DK80" t="s">
        <v>3</v>
      </c>
      <c r="DL80" t="s">
        <v>3</v>
      </c>
      <c r="DM80" t="s">
        <v>3</v>
      </c>
      <c r="DN80">
        <v>0</v>
      </c>
      <c r="DO80">
        <v>0</v>
      </c>
      <c r="DP80">
        <v>1</v>
      </c>
      <c r="DQ80">
        <v>1</v>
      </c>
      <c r="DU80">
        <v>1005</v>
      </c>
      <c r="DV80" t="s">
        <v>19</v>
      </c>
      <c r="DW80" t="s">
        <v>19</v>
      </c>
      <c r="DX80">
        <v>100</v>
      </c>
      <c r="EE80">
        <v>38447819</v>
      </c>
      <c r="EF80">
        <v>1</v>
      </c>
      <c r="EG80" t="s">
        <v>23</v>
      </c>
      <c r="EH80">
        <v>0</v>
      </c>
      <c r="EI80" t="s">
        <v>3</v>
      </c>
      <c r="EJ80">
        <v>4</v>
      </c>
      <c r="EK80">
        <v>0</v>
      </c>
      <c r="EL80" t="s">
        <v>24</v>
      </c>
      <c r="EM80" t="s">
        <v>25</v>
      </c>
      <c r="EO80" t="s">
        <v>3</v>
      </c>
      <c r="EQ80">
        <v>0</v>
      </c>
      <c r="ER80">
        <v>22678.99</v>
      </c>
      <c r="ES80">
        <v>17411.05</v>
      </c>
      <c r="ET80">
        <v>2014.79</v>
      </c>
      <c r="EU80">
        <v>1208.03</v>
      </c>
      <c r="EV80">
        <v>3253.15</v>
      </c>
      <c r="EW80">
        <v>16.440000000000001</v>
      </c>
      <c r="EX80">
        <v>0</v>
      </c>
      <c r="EY80">
        <v>0</v>
      </c>
      <c r="FQ80">
        <v>0</v>
      </c>
      <c r="FR80">
        <f t="shared" si="74"/>
        <v>0</v>
      </c>
      <c r="FS80">
        <v>0</v>
      </c>
      <c r="FX80">
        <v>70</v>
      </c>
      <c r="FY80">
        <v>10</v>
      </c>
      <c r="GA80" t="s">
        <v>3</v>
      </c>
      <c r="GD80">
        <v>0</v>
      </c>
      <c r="GF80">
        <v>-820978144</v>
      </c>
      <c r="GG80">
        <v>2</v>
      </c>
      <c r="GH80">
        <v>1</v>
      </c>
      <c r="GI80">
        <v>-2</v>
      </c>
      <c r="GJ80">
        <v>0</v>
      </c>
      <c r="GK80">
        <f>ROUND(R80*(R12)/100,2)</f>
        <v>1252.49</v>
      </c>
      <c r="GL80">
        <f t="shared" si="75"/>
        <v>0</v>
      </c>
      <c r="GM80">
        <f t="shared" si="76"/>
        <v>25522.73</v>
      </c>
      <c r="GN80">
        <f t="shared" si="77"/>
        <v>0</v>
      </c>
      <c r="GO80">
        <f t="shared" si="78"/>
        <v>0</v>
      </c>
      <c r="GP80">
        <f t="shared" si="79"/>
        <v>25522.73</v>
      </c>
      <c r="GR80">
        <v>0</v>
      </c>
      <c r="GS80">
        <v>3</v>
      </c>
      <c r="GT80">
        <v>0</v>
      </c>
      <c r="GU80" t="s">
        <v>3</v>
      </c>
      <c r="GV80">
        <f t="shared" si="80"/>
        <v>0</v>
      </c>
      <c r="GW80">
        <v>1</v>
      </c>
      <c r="GX80">
        <f t="shared" si="81"/>
        <v>0</v>
      </c>
      <c r="HA80">
        <v>0</v>
      </c>
      <c r="HB80">
        <v>0</v>
      </c>
      <c r="HC80">
        <f t="shared" si="82"/>
        <v>0</v>
      </c>
      <c r="HE80" t="s">
        <v>3</v>
      </c>
      <c r="HF80" t="s">
        <v>3</v>
      </c>
      <c r="IK80">
        <v>0</v>
      </c>
    </row>
    <row r="81" spans="1:245" x14ac:dyDescent="0.2">
      <c r="A81">
        <v>17</v>
      </c>
      <c r="B81">
        <v>1</v>
      </c>
      <c r="C81">
        <f>ROW(SmtRes!A48)</f>
        <v>48</v>
      </c>
      <c r="D81">
        <f>ROW(EtalonRes!A47)</f>
        <v>47</v>
      </c>
      <c r="E81" t="s">
        <v>135</v>
      </c>
      <c r="F81" t="s">
        <v>136</v>
      </c>
      <c r="G81" t="s">
        <v>137</v>
      </c>
      <c r="H81" t="s">
        <v>19</v>
      </c>
      <c r="I81">
        <f>ROUND(96/100,9)</f>
        <v>0.96</v>
      </c>
      <c r="J81">
        <v>0</v>
      </c>
      <c r="O81">
        <f t="shared" si="43"/>
        <v>3370.03</v>
      </c>
      <c r="P81">
        <f t="shared" si="44"/>
        <v>2853.93</v>
      </c>
      <c r="Q81">
        <f t="shared" si="45"/>
        <v>101.03</v>
      </c>
      <c r="R81">
        <f t="shared" si="46"/>
        <v>57.56</v>
      </c>
      <c r="S81">
        <f t="shared" si="47"/>
        <v>415.07</v>
      </c>
      <c r="T81">
        <f t="shared" si="48"/>
        <v>0</v>
      </c>
      <c r="U81">
        <f t="shared" si="49"/>
        <v>2.2176</v>
      </c>
      <c r="V81">
        <f t="shared" si="50"/>
        <v>0</v>
      </c>
      <c r="W81">
        <f t="shared" si="51"/>
        <v>0</v>
      </c>
      <c r="X81">
        <f t="shared" si="52"/>
        <v>290.55</v>
      </c>
      <c r="Y81">
        <f t="shared" si="53"/>
        <v>41.51</v>
      </c>
      <c r="AA81">
        <v>38799519</v>
      </c>
      <c r="AB81">
        <f t="shared" si="54"/>
        <v>3510.44</v>
      </c>
      <c r="AC81">
        <f t="shared" si="55"/>
        <v>2972.84</v>
      </c>
      <c r="AD81">
        <f t="shared" si="56"/>
        <v>105.24</v>
      </c>
      <c r="AE81">
        <f t="shared" si="57"/>
        <v>59.96</v>
      </c>
      <c r="AF81">
        <f t="shared" si="58"/>
        <v>432.36</v>
      </c>
      <c r="AG81">
        <f t="shared" si="59"/>
        <v>0</v>
      </c>
      <c r="AH81">
        <f t="shared" si="60"/>
        <v>2.31</v>
      </c>
      <c r="AI81">
        <f t="shared" si="61"/>
        <v>0</v>
      </c>
      <c r="AJ81">
        <f t="shared" si="62"/>
        <v>0</v>
      </c>
      <c r="AK81">
        <v>3510.44</v>
      </c>
      <c r="AL81">
        <v>2972.84</v>
      </c>
      <c r="AM81">
        <v>105.24</v>
      </c>
      <c r="AN81">
        <v>59.96</v>
      </c>
      <c r="AO81">
        <v>432.36</v>
      </c>
      <c r="AP81">
        <v>0</v>
      </c>
      <c r="AQ81">
        <v>2.31</v>
      </c>
      <c r="AR81">
        <v>0</v>
      </c>
      <c r="AS81">
        <v>0</v>
      </c>
      <c r="AT81">
        <v>70</v>
      </c>
      <c r="AU81">
        <v>10</v>
      </c>
      <c r="AV81">
        <v>1</v>
      </c>
      <c r="AW81">
        <v>1</v>
      </c>
      <c r="AZ81">
        <v>1</v>
      </c>
      <c r="BA81">
        <v>1</v>
      </c>
      <c r="BB81">
        <v>1</v>
      </c>
      <c r="BC81">
        <v>1</v>
      </c>
      <c r="BD81" t="s">
        <v>3</v>
      </c>
      <c r="BE81" t="s">
        <v>3</v>
      </c>
      <c r="BF81" t="s">
        <v>3</v>
      </c>
      <c r="BG81" t="s">
        <v>3</v>
      </c>
      <c r="BH81">
        <v>0</v>
      </c>
      <c r="BI81">
        <v>4</v>
      </c>
      <c r="BJ81" t="s">
        <v>138</v>
      </c>
      <c r="BM81">
        <v>0</v>
      </c>
      <c r="BN81">
        <v>0</v>
      </c>
      <c r="BO81" t="s">
        <v>3</v>
      </c>
      <c r="BP81">
        <v>0</v>
      </c>
      <c r="BQ81">
        <v>1</v>
      </c>
      <c r="BR81">
        <v>0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 t="s">
        <v>3</v>
      </c>
      <c r="BZ81">
        <v>70</v>
      </c>
      <c r="CA81">
        <v>10</v>
      </c>
      <c r="CE81">
        <v>0</v>
      </c>
      <c r="CF81">
        <v>0</v>
      </c>
      <c r="CG81">
        <v>0</v>
      </c>
      <c r="CM81">
        <v>0</v>
      </c>
      <c r="CN81" t="s">
        <v>3</v>
      </c>
      <c r="CO81">
        <v>0</v>
      </c>
      <c r="CP81">
        <f t="shared" si="63"/>
        <v>3370.03</v>
      </c>
      <c r="CQ81">
        <f t="shared" si="64"/>
        <v>2972.84</v>
      </c>
      <c r="CR81">
        <f t="shared" si="65"/>
        <v>105.24</v>
      </c>
      <c r="CS81">
        <f t="shared" si="66"/>
        <v>59.96</v>
      </c>
      <c r="CT81">
        <f t="shared" si="67"/>
        <v>432.36</v>
      </c>
      <c r="CU81">
        <f t="shared" si="68"/>
        <v>0</v>
      </c>
      <c r="CV81">
        <f t="shared" si="69"/>
        <v>2.31</v>
      </c>
      <c r="CW81">
        <f t="shared" si="70"/>
        <v>0</v>
      </c>
      <c r="CX81">
        <f t="shared" si="71"/>
        <v>0</v>
      </c>
      <c r="CY81">
        <f t="shared" si="72"/>
        <v>290.54899999999998</v>
      </c>
      <c r="CZ81">
        <f t="shared" si="73"/>
        <v>41.506999999999998</v>
      </c>
      <c r="DC81" t="s">
        <v>3</v>
      </c>
      <c r="DD81" t="s">
        <v>3</v>
      </c>
      <c r="DE81" t="s">
        <v>3</v>
      </c>
      <c r="DF81" t="s">
        <v>3</v>
      </c>
      <c r="DG81" t="s">
        <v>3</v>
      </c>
      <c r="DH81" t="s">
        <v>3</v>
      </c>
      <c r="DI81" t="s">
        <v>3</v>
      </c>
      <c r="DJ81" t="s">
        <v>3</v>
      </c>
      <c r="DK81" t="s">
        <v>3</v>
      </c>
      <c r="DL81" t="s">
        <v>3</v>
      </c>
      <c r="DM81" t="s">
        <v>3</v>
      </c>
      <c r="DN81">
        <v>0</v>
      </c>
      <c r="DO81">
        <v>0</v>
      </c>
      <c r="DP81">
        <v>1</v>
      </c>
      <c r="DQ81">
        <v>1</v>
      </c>
      <c r="DU81">
        <v>1005</v>
      </c>
      <c r="DV81" t="s">
        <v>19</v>
      </c>
      <c r="DW81" t="s">
        <v>19</v>
      </c>
      <c r="DX81">
        <v>100</v>
      </c>
      <c r="EE81">
        <v>38447819</v>
      </c>
      <c r="EF81">
        <v>1</v>
      </c>
      <c r="EG81" t="s">
        <v>23</v>
      </c>
      <c r="EH81">
        <v>0</v>
      </c>
      <c r="EI81" t="s">
        <v>3</v>
      </c>
      <c r="EJ81">
        <v>4</v>
      </c>
      <c r="EK81">
        <v>0</v>
      </c>
      <c r="EL81" t="s">
        <v>24</v>
      </c>
      <c r="EM81" t="s">
        <v>25</v>
      </c>
      <c r="EO81" t="s">
        <v>3</v>
      </c>
      <c r="EQ81">
        <v>0</v>
      </c>
      <c r="ER81">
        <v>3510.44</v>
      </c>
      <c r="ES81">
        <v>2972.84</v>
      </c>
      <c r="ET81">
        <v>105.24</v>
      </c>
      <c r="EU81">
        <v>59.96</v>
      </c>
      <c r="EV81">
        <v>432.36</v>
      </c>
      <c r="EW81">
        <v>2.31</v>
      </c>
      <c r="EX81">
        <v>0</v>
      </c>
      <c r="EY81">
        <v>0</v>
      </c>
      <c r="FQ81">
        <v>0</v>
      </c>
      <c r="FR81">
        <f t="shared" si="74"/>
        <v>0</v>
      </c>
      <c r="FS81">
        <v>0</v>
      </c>
      <c r="FX81">
        <v>70</v>
      </c>
      <c r="FY81">
        <v>10</v>
      </c>
      <c r="GA81" t="s">
        <v>3</v>
      </c>
      <c r="GD81">
        <v>0</v>
      </c>
      <c r="GF81">
        <v>-1891653427</v>
      </c>
      <c r="GG81">
        <v>2</v>
      </c>
      <c r="GH81">
        <v>1</v>
      </c>
      <c r="GI81">
        <v>-2</v>
      </c>
      <c r="GJ81">
        <v>0</v>
      </c>
      <c r="GK81">
        <f>ROUND(R81*(R12)/100,2)</f>
        <v>62.16</v>
      </c>
      <c r="GL81">
        <f t="shared" si="75"/>
        <v>0</v>
      </c>
      <c r="GM81">
        <f t="shared" si="76"/>
        <v>3764.25</v>
      </c>
      <c r="GN81">
        <f t="shared" si="77"/>
        <v>0</v>
      </c>
      <c r="GO81">
        <f t="shared" si="78"/>
        <v>0</v>
      </c>
      <c r="GP81">
        <f t="shared" si="79"/>
        <v>3764.25</v>
      </c>
      <c r="GR81">
        <v>0</v>
      </c>
      <c r="GS81">
        <v>3</v>
      </c>
      <c r="GT81">
        <v>0</v>
      </c>
      <c r="GU81" t="s">
        <v>3</v>
      </c>
      <c r="GV81">
        <f t="shared" si="80"/>
        <v>0</v>
      </c>
      <c r="GW81">
        <v>1</v>
      </c>
      <c r="GX81">
        <f t="shared" si="81"/>
        <v>0</v>
      </c>
      <c r="HA81">
        <v>0</v>
      </c>
      <c r="HB81">
        <v>0</v>
      </c>
      <c r="HC81">
        <f t="shared" si="82"/>
        <v>0</v>
      </c>
      <c r="HE81" t="s">
        <v>3</v>
      </c>
      <c r="HF81" t="s">
        <v>3</v>
      </c>
      <c r="IK81">
        <v>0</v>
      </c>
    </row>
    <row r="82" spans="1:245" x14ac:dyDescent="0.2">
      <c r="A82">
        <v>17</v>
      </c>
      <c r="B82">
        <v>1</v>
      </c>
      <c r="C82">
        <f>ROW(SmtRes!A58)</f>
        <v>58</v>
      </c>
      <c r="D82">
        <f>ROW(EtalonRes!A57)</f>
        <v>57</v>
      </c>
      <c r="E82" t="s">
        <v>139</v>
      </c>
      <c r="F82" t="s">
        <v>140</v>
      </c>
      <c r="G82" t="s">
        <v>141</v>
      </c>
      <c r="H82" t="s">
        <v>19</v>
      </c>
      <c r="I82">
        <f>ROUND(96/100,9)</f>
        <v>0.96</v>
      </c>
      <c r="J82">
        <v>0</v>
      </c>
      <c r="O82">
        <f t="shared" si="43"/>
        <v>104691.36</v>
      </c>
      <c r="P82">
        <f t="shared" si="44"/>
        <v>98265.24</v>
      </c>
      <c r="Q82">
        <f t="shared" si="45"/>
        <v>2512.56</v>
      </c>
      <c r="R82">
        <f t="shared" si="46"/>
        <v>1980.92</v>
      </c>
      <c r="S82">
        <f t="shared" si="47"/>
        <v>3913.56</v>
      </c>
      <c r="T82">
        <f t="shared" si="48"/>
        <v>0</v>
      </c>
      <c r="U82">
        <f t="shared" si="49"/>
        <v>17.702400000000001</v>
      </c>
      <c r="V82">
        <f t="shared" si="50"/>
        <v>0</v>
      </c>
      <c r="W82">
        <f t="shared" si="51"/>
        <v>0</v>
      </c>
      <c r="X82">
        <f t="shared" si="52"/>
        <v>2739.49</v>
      </c>
      <c r="Y82">
        <f t="shared" si="53"/>
        <v>391.36</v>
      </c>
      <c r="AA82">
        <v>38799519</v>
      </c>
      <c r="AB82">
        <f t="shared" si="54"/>
        <v>109053.5</v>
      </c>
      <c r="AC82">
        <f t="shared" si="55"/>
        <v>102359.62</v>
      </c>
      <c r="AD82">
        <f t="shared" si="56"/>
        <v>2617.25</v>
      </c>
      <c r="AE82">
        <f t="shared" si="57"/>
        <v>2063.46</v>
      </c>
      <c r="AF82">
        <f t="shared" si="58"/>
        <v>4076.63</v>
      </c>
      <c r="AG82">
        <f t="shared" si="59"/>
        <v>0</v>
      </c>
      <c r="AH82">
        <f t="shared" si="60"/>
        <v>18.440000000000001</v>
      </c>
      <c r="AI82">
        <f t="shared" si="61"/>
        <v>0</v>
      </c>
      <c r="AJ82">
        <f t="shared" si="62"/>
        <v>0</v>
      </c>
      <c r="AK82">
        <v>109053.5</v>
      </c>
      <c r="AL82">
        <v>102359.62</v>
      </c>
      <c r="AM82">
        <v>2617.25</v>
      </c>
      <c r="AN82">
        <v>2063.46</v>
      </c>
      <c r="AO82">
        <v>4076.63</v>
      </c>
      <c r="AP82">
        <v>0</v>
      </c>
      <c r="AQ82">
        <v>18.440000000000001</v>
      </c>
      <c r="AR82">
        <v>0</v>
      </c>
      <c r="AS82">
        <v>0</v>
      </c>
      <c r="AT82">
        <v>70</v>
      </c>
      <c r="AU82">
        <v>10</v>
      </c>
      <c r="AV82">
        <v>1</v>
      </c>
      <c r="AW82">
        <v>1</v>
      </c>
      <c r="AZ82">
        <v>1</v>
      </c>
      <c r="BA82">
        <v>1</v>
      </c>
      <c r="BB82">
        <v>1</v>
      </c>
      <c r="BC82">
        <v>1</v>
      </c>
      <c r="BD82" t="s">
        <v>3</v>
      </c>
      <c r="BE82" t="s">
        <v>3</v>
      </c>
      <c r="BF82" t="s">
        <v>3</v>
      </c>
      <c r="BG82" t="s">
        <v>3</v>
      </c>
      <c r="BH82">
        <v>0</v>
      </c>
      <c r="BI82">
        <v>4</v>
      </c>
      <c r="BJ82" t="s">
        <v>142</v>
      </c>
      <c r="BM82">
        <v>0</v>
      </c>
      <c r="BN82">
        <v>0</v>
      </c>
      <c r="BO82" t="s">
        <v>3</v>
      </c>
      <c r="BP82">
        <v>0</v>
      </c>
      <c r="BQ82">
        <v>1</v>
      </c>
      <c r="BR82">
        <v>0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 t="s">
        <v>3</v>
      </c>
      <c r="BZ82">
        <v>70</v>
      </c>
      <c r="CA82">
        <v>10</v>
      </c>
      <c r="CE82">
        <v>0</v>
      </c>
      <c r="CF82">
        <v>0</v>
      </c>
      <c r="CG82">
        <v>0</v>
      </c>
      <c r="CM82">
        <v>0</v>
      </c>
      <c r="CN82" t="s">
        <v>3</v>
      </c>
      <c r="CO82">
        <v>0</v>
      </c>
      <c r="CP82">
        <f t="shared" si="63"/>
        <v>104691.36</v>
      </c>
      <c r="CQ82">
        <f t="shared" si="64"/>
        <v>102359.62</v>
      </c>
      <c r="CR82">
        <f t="shared" si="65"/>
        <v>2617.25</v>
      </c>
      <c r="CS82">
        <f t="shared" si="66"/>
        <v>2063.46</v>
      </c>
      <c r="CT82">
        <f t="shared" si="67"/>
        <v>4076.63</v>
      </c>
      <c r="CU82">
        <f t="shared" si="68"/>
        <v>0</v>
      </c>
      <c r="CV82">
        <f t="shared" si="69"/>
        <v>18.440000000000001</v>
      </c>
      <c r="CW82">
        <f t="shared" si="70"/>
        <v>0</v>
      </c>
      <c r="CX82">
        <f t="shared" si="71"/>
        <v>0</v>
      </c>
      <c r="CY82">
        <f t="shared" si="72"/>
        <v>2739.4920000000002</v>
      </c>
      <c r="CZ82">
        <f t="shared" si="73"/>
        <v>391.35599999999999</v>
      </c>
      <c r="DC82" t="s">
        <v>3</v>
      </c>
      <c r="DD82" t="s">
        <v>3</v>
      </c>
      <c r="DE82" t="s">
        <v>3</v>
      </c>
      <c r="DF82" t="s">
        <v>3</v>
      </c>
      <c r="DG82" t="s">
        <v>3</v>
      </c>
      <c r="DH82" t="s">
        <v>3</v>
      </c>
      <c r="DI82" t="s">
        <v>3</v>
      </c>
      <c r="DJ82" t="s">
        <v>3</v>
      </c>
      <c r="DK82" t="s">
        <v>3</v>
      </c>
      <c r="DL82" t="s">
        <v>3</v>
      </c>
      <c r="DM82" t="s">
        <v>3</v>
      </c>
      <c r="DN82">
        <v>0</v>
      </c>
      <c r="DO82">
        <v>0</v>
      </c>
      <c r="DP82">
        <v>1</v>
      </c>
      <c r="DQ82">
        <v>1</v>
      </c>
      <c r="DU82">
        <v>1005</v>
      </c>
      <c r="DV82" t="s">
        <v>19</v>
      </c>
      <c r="DW82" t="s">
        <v>19</v>
      </c>
      <c r="DX82">
        <v>100</v>
      </c>
      <c r="EE82">
        <v>38447819</v>
      </c>
      <c r="EF82">
        <v>1</v>
      </c>
      <c r="EG82" t="s">
        <v>23</v>
      </c>
      <c r="EH82">
        <v>0</v>
      </c>
      <c r="EI82" t="s">
        <v>3</v>
      </c>
      <c r="EJ82">
        <v>4</v>
      </c>
      <c r="EK82">
        <v>0</v>
      </c>
      <c r="EL82" t="s">
        <v>24</v>
      </c>
      <c r="EM82" t="s">
        <v>25</v>
      </c>
      <c r="EO82" t="s">
        <v>3</v>
      </c>
      <c r="EQ82">
        <v>0</v>
      </c>
      <c r="ER82">
        <v>109053.5</v>
      </c>
      <c r="ES82">
        <v>102359.62</v>
      </c>
      <c r="ET82">
        <v>2617.25</v>
      </c>
      <c r="EU82">
        <v>2063.46</v>
      </c>
      <c r="EV82">
        <v>4076.63</v>
      </c>
      <c r="EW82">
        <v>18.440000000000001</v>
      </c>
      <c r="EX82">
        <v>0</v>
      </c>
      <c r="EY82">
        <v>0</v>
      </c>
      <c r="FQ82">
        <v>0</v>
      </c>
      <c r="FR82">
        <f t="shared" si="74"/>
        <v>0</v>
      </c>
      <c r="FS82">
        <v>0</v>
      </c>
      <c r="FX82">
        <v>70</v>
      </c>
      <c r="FY82">
        <v>10</v>
      </c>
      <c r="GA82" t="s">
        <v>3</v>
      </c>
      <c r="GD82">
        <v>0</v>
      </c>
      <c r="GF82">
        <v>1018568157</v>
      </c>
      <c r="GG82">
        <v>2</v>
      </c>
      <c r="GH82">
        <v>1</v>
      </c>
      <c r="GI82">
        <v>-2</v>
      </c>
      <c r="GJ82">
        <v>0</v>
      </c>
      <c r="GK82">
        <f>ROUND(R82*(R12)/100,2)</f>
        <v>2139.39</v>
      </c>
      <c r="GL82">
        <f t="shared" si="75"/>
        <v>0</v>
      </c>
      <c r="GM82">
        <f t="shared" si="76"/>
        <v>109961.60000000001</v>
      </c>
      <c r="GN82">
        <f t="shared" si="77"/>
        <v>0</v>
      </c>
      <c r="GO82">
        <f t="shared" si="78"/>
        <v>0</v>
      </c>
      <c r="GP82">
        <f t="shared" si="79"/>
        <v>109961.60000000001</v>
      </c>
      <c r="GR82">
        <v>0</v>
      </c>
      <c r="GS82">
        <v>3</v>
      </c>
      <c r="GT82">
        <v>0</v>
      </c>
      <c r="GU82" t="s">
        <v>3</v>
      </c>
      <c r="GV82">
        <f t="shared" si="80"/>
        <v>0</v>
      </c>
      <c r="GW82">
        <v>1</v>
      </c>
      <c r="GX82">
        <f t="shared" si="81"/>
        <v>0</v>
      </c>
      <c r="HA82">
        <v>0</v>
      </c>
      <c r="HB82">
        <v>0</v>
      </c>
      <c r="HC82">
        <f t="shared" si="82"/>
        <v>0</v>
      </c>
      <c r="HE82" t="s">
        <v>3</v>
      </c>
      <c r="HF82" t="s">
        <v>3</v>
      </c>
      <c r="IK82">
        <v>0</v>
      </c>
    </row>
    <row r="83" spans="1:245" x14ac:dyDescent="0.2">
      <c r="A83">
        <v>17</v>
      </c>
      <c r="B83">
        <v>1</v>
      </c>
      <c r="C83">
        <f>ROW(SmtRes!A59)</f>
        <v>59</v>
      </c>
      <c r="D83">
        <f>ROW(EtalonRes!A58)</f>
        <v>58</v>
      </c>
      <c r="E83" t="s">
        <v>143</v>
      </c>
      <c r="F83" t="s">
        <v>144</v>
      </c>
      <c r="G83" t="s">
        <v>145</v>
      </c>
      <c r="H83" t="s">
        <v>146</v>
      </c>
      <c r="I83">
        <f>ROUND(0.24/100,9)</f>
        <v>2.3999999999999998E-3</v>
      </c>
      <c r="J83">
        <v>0</v>
      </c>
      <c r="O83">
        <f t="shared" si="43"/>
        <v>236.2</v>
      </c>
      <c r="P83">
        <f t="shared" si="44"/>
        <v>0</v>
      </c>
      <c r="Q83">
        <f t="shared" si="45"/>
        <v>0</v>
      </c>
      <c r="R83">
        <f t="shared" si="46"/>
        <v>0</v>
      </c>
      <c r="S83">
        <f t="shared" si="47"/>
        <v>236.2</v>
      </c>
      <c r="T83">
        <f t="shared" si="48"/>
        <v>0</v>
      </c>
      <c r="U83">
        <f t="shared" si="49"/>
        <v>1.3967999999999998</v>
      </c>
      <c r="V83">
        <f t="shared" si="50"/>
        <v>0</v>
      </c>
      <c r="W83">
        <f t="shared" si="51"/>
        <v>0</v>
      </c>
      <c r="X83">
        <f t="shared" si="52"/>
        <v>165.34</v>
      </c>
      <c r="Y83">
        <f t="shared" si="53"/>
        <v>23.62</v>
      </c>
      <c r="AA83">
        <v>38799519</v>
      </c>
      <c r="AB83">
        <f t="shared" si="54"/>
        <v>98416.2</v>
      </c>
      <c r="AC83">
        <f t="shared" si="55"/>
        <v>0</v>
      </c>
      <c r="AD83">
        <f t="shared" si="56"/>
        <v>0</v>
      </c>
      <c r="AE83">
        <f t="shared" si="57"/>
        <v>0</v>
      </c>
      <c r="AF83">
        <f t="shared" si="58"/>
        <v>98416.2</v>
      </c>
      <c r="AG83">
        <f t="shared" si="59"/>
        <v>0</v>
      </c>
      <c r="AH83">
        <f t="shared" si="60"/>
        <v>582</v>
      </c>
      <c r="AI83">
        <f t="shared" si="61"/>
        <v>0</v>
      </c>
      <c r="AJ83">
        <f t="shared" si="62"/>
        <v>0</v>
      </c>
      <c r="AK83">
        <v>98416.2</v>
      </c>
      <c r="AL83">
        <v>0</v>
      </c>
      <c r="AM83">
        <v>0</v>
      </c>
      <c r="AN83">
        <v>0</v>
      </c>
      <c r="AO83">
        <v>98416.2</v>
      </c>
      <c r="AP83">
        <v>0</v>
      </c>
      <c r="AQ83">
        <v>582</v>
      </c>
      <c r="AR83">
        <v>0</v>
      </c>
      <c r="AS83">
        <v>0</v>
      </c>
      <c r="AT83">
        <v>70</v>
      </c>
      <c r="AU83">
        <v>10</v>
      </c>
      <c r="AV83">
        <v>1</v>
      </c>
      <c r="AW83">
        <v>1</v>
      </c>
      <c r="AZ83">
        <v>1</v>
      </c>
      <c r="BA83">
        <v>1</v>
      </c>
      <c r="BB83">
        <v>1</v>
      </c>
      <c r="BC83">
        <v>1</v>
      </c>
      <c r="BD83" t="s">
        <v>3</v>
      </c>
      <c r="BE83" t="s">
        <v>3</v>
      </c>
      <c r="BF83" t="s">
        <v>3</v>
      </c>
      <c r="BG83" t="s">
        <v>3</v>
      </c>
      <c r="BH83">
        <v>0</v>
      </c>
      <c r="BI83">
        <v>4</v>
      </c>
      <c r="BJ83" t="s">
        <v>147</v>
      </c>
      <c r="BM83">
        <v>0</v>
      </c>
      <c r="BN83">
        <v>0</v>
      </c>
      <c r="BO83" t="s">
        <v>3</v>
      </c>
      <c r="BP83">
        <v>0</v>
      </c>
      <c r="BQ83">
        <v>1</v>
      </c>
      <c r="BR83">
        <v>0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 t="s">
        <v>3</v>
      </c>
      <c r="BZ83">
        <v>70</v>
      </c>
      <c r="CA83">
        <v>10</v>
      </c>
      <c r="CE83">
        <v>0</v>
      </c>
      <c r="CF83">
        <v>0</v>
      </c>
      <c r="CG83">
        <v>0</v>
      </c>
      <c r="CM83">
        <v>0</v>
      </c>
      <c r="CN83" t="s">
        <v>3</v>
      </c>
      <c r="CO83">
        <v>0</v>
      </c>
      <c r="CP83">
        <f t="shared" si="63"/>
        <v>236.2</v>
      </c>
      <c r="CQ83">
        <f t="shared" si="64"/>
        <v>0</v>
      </c>
      <c r="CR83">
        <f t="shared" si="65"/>
        <v>0</v>
      </c>
      <c r="CS83">
        <f t="shared" si="66"/>
        <v>0</v>
      </c>
      <c r="CT83">
        <f t="shared" si="67"/>
        <v>98416.2</v>
      </c>
      <c r="CU83">
        <f t="shared" si="68"/>
        <v>0</v>
      </c>
      <c r="CV83">
        <f t="shared" si="69"/>
        <v>582</v>
      </c>
      <c r="CW83">
        <f t="shared" si="70"/>
        <v>0</v>
      </c>
      <c r="CX83">
        <f t="shared" si="71"/>
        <v>0</v>
      </c>
      <c r="CY83">
        <f t="shared" si="72"/>
        <v>165.34</v>
      </c>
      <c r="CZ83">
        <f t="shared" si="73"/>
        <v>23.62</v>
      </c>
      <c r="DC83" t="s">
        <v>3</v>
      </c>
      <c r="DD83" t="s">
        <v>3</v>
      </c>
      <c r="DE83" t="s">
        <v>3</v>
      </c>
      <c r="DF83" t="s">
        <v>3</v>
      </c>
      <c r="DG83" t="s">
        <v>3</v>
      </c>
      <c r="DH83" t="s">
        <v>3</v>
      </c>
      <c r="DI83" t="s">
        <v>3</v>
      </c>
      <c r="DJ83" t="s">
        <v>3</v>
      </c>
      <c r="DK83" t="s">
        <v>3</v>
      </c>
      <c r="DL83" t="s">
        <v>3</v>
      </c>
      <c r="DM83" t="s">
        <v>3</v>
      </c>
      <c r="DN83">
        <v>0</v>
      </c>
      <c r="DO83">
        <v>0</v>
      </c>
      <c r="DP83">
        <v>1</v>
      </c>
      <c r="DQ83">
        <v>1</v>
      </c>
      <c r="DU83">
        <v>1013</v>
      </c>
      <c r="DV83" t="s">
        <v>146</v>
      </c>
      <c r="DW83" t="s">
        <v>146</v>
      </c>
      <c r="DX83">
        <v>1</v>
      </c>
      <c r="EE83">
        <v>38447819</v>
      </c>
      <c r="EF83">
        <v>1</v>
      </c>
      <c r="EG83" t="s">
        <v>23</v>
      </c>
      <c r="EH83">
        <v>0</v>
      </c>
      <c r="EI83" t="s">
        <v>3</v>
      </c>
      <c r="EJ83">
        <v>4</v>
      </c>
      <c r="EK83">
        <v>0</v>
      </c>
      <c r="EL83" t="s">
        <v>24</v>
      </c>
      <c r="EM83" t="s">
        <v>25</v>
      </c>
      <c r="EO83" t="s">
        <v>3</v>
      </c>
      <c r="EQ83">
        <v>0</v>
      </c>
      <c r="ER83">
        <v>98416.2</v>
      </c>
      <c r="ES83">
        <v>0</v>
      </c>
      <c r="ET83">
        <v>0</v>
      </c>
      <c r="EU83">
        <v>0</v>
      </c>
      <c r="EV83">
        <v>98416.2</v>
      </c>
      <c r="EW83">
        <v>582</v>
      </c>
      <c r="EX83">
        <v>0</v>
      </c>
      <c r="EY83">
        <v>0</v>
      </c>
      <c r="FQ83">
        <v>0</v>
      </c>
      <c r="FR83">
        <f t="shared" si="74"/>
        <v>0</v>
      </c>
      <c r="FS83">
        <v>0</v>
      </c>
      <c r="FX83">
        <v>70</v>
      </c>
      <c r="FY83">
        <v>10</v>
      </c>
      <c r="GA83" t="s">
        <v>3</v>
      </c>
      <c r="GD83">
        <v>0</v>
      </c>
      <c r="GF83">
        <v>-2060657684</v>
      </c>
      <c r="GG83">
        <v>2</v>
      </c>
      <c r="GH83">
        <v>1</v>
      </c>
      <c r="GI83">
        <v>-2</v>
      </c>
      <c r="GJ83">
        <v>0</v>
      </c>
      <c r="GK83">
        <f>ROUND(R83*(R12)/100,2)</f>
        <v>0</v>
      </c>
      <c r="GL83">
        <f t="shared" si="75"/>
        <v>0</v>
      </c>
      <c r="GM83">
        <f t="shared" si="76"/>
        <v>425.16</v>
      </c>
      <c r="GN83">
        <f t="shared" si="77"/>
        <v>0</v>
      </c>
      <c r="GO83">
        <f t="shared" si="78"/>
        <v>0</v>
      </c>
      <c r="GP83">
        <f t="shared" si="79"/>
        <v>425.16</v>
      </c>
      <c r="GR83">
        <v>0</v>
      </c>
      <c r="GS83">
        <v>3</v>
      </c>
      <c r="GT83">
        <v>0</v>
      </c>
      <c r="GU83" t="s">
        <v>3</v>
      </c>
      <c r="GV83">
        <f t="shared" si="80"/>
        <v>0</v>
      </c>
      <c r="GW83">
        <v>1</v>
      </c>
      <c r="GX83">
        <f t="shared" si="81"/>
        <v>0</v>
      </c>
      <c r="HA83">
        <v>0</v>
      </c>
      <c r="HB83">
        <v>0</v>
      </c>
      <c r="HC83">
        <f t="shared" si="82"/>
        <v>0</v>
      </c>
      <c r="HE83" t="s">
        <v>3</v>
      </c>
      <c r="HF83" t="s">
        <v>3</v>
      </c>
      <c r="IK83">
        <v>0</v>
      </c>
    </row>
    <row r="84" spans="1:245" x14ac:dyDescent="0.2">
      <c r="A84">
        <v>17</v>
      </c>
      <c r="B84">
        <v>1</v>
      </c>
      <c r="C84">
        <f>ROW(SmtRes!A64)</f>
        <v>64</v>
      </c>
      <c r="D84">
        <f>ROW(EtalonRes!A63)</f>
        <v>63</v>
      </c>
      <c r="E84" t="s">
        <v>148</v>
      </c>
      <c r="F84" t="s">
        <v>149</v>
      </c>
      <c r="G84" t="s">
        <v>150</v>
      </c>
      <c r="H84" t="s">
        <v>108</v>
      </c>
      <c r="I84">
        <f>ROUND(0.016/100,9)</f>
        <v>1.6000000000000001E-4</v>
      </c>
      <c r="J84">
        <v>0</v>
      </c>
      <c r="O84">
        <f t="shared" si="43"/>
        <v>61.17</v>
      </c>
      <c r="P84">
        <f t="shared" si="44"/>
        <v>56.68</v>
      </c>
      <c r="Q84">
        <f t="shared" si="45"/>
        <v>0</v>
      </c>
      <c r="R84">
        <f t="shared" si="46"/>
        <v>0</v>
      </c>
      <c r="S84">
        <f t="shared" si="47"/>
        <v>4.49</v>
      </c>
      <c r="T84">
        <f t="shared" si="48"/>
        <v>0</v>
      </c>
      <c r="U84">
        <f t="shared" si="49"/>
        <v>2.4840000000000001E-2</v>
      </c>
      <c r="V84">
        <f t="shared" si="50"/>
        <v>0</v>
      </c>
      <c r="W84">
        <f t="shared" si="51"/>
        <v>0</v>
      </c>
      <c r="X84">
        <f t="shared" si="52"/>
        <v>3.14</v>
      </c>
      <c r="Y84">
        <f t="shared" si="53"/>
        <v>0.45</v>
      </c>
      <c r="AA84">
        <v>38799519</v>
      </c>
      <c r="AB84">
        <f t="shared" si="54"/>
        <v>382339.99</v>
      </c>
      <c r="AC84">
        <f t="shared" si="55"/>
        <v>354251.65</v>
      </c>
      <c r="AD84">
        <f t="shared" si="56"/>
        <v>28.45</v>
      </c>
      <c r="AE84">
        <f t="shared" si="57"/>
        <v>7.0000000000000007E-2</v>
      </c>
      <c r="AF84">
        <f t="shared" si="58"/>
        <v>28059.89</v>
      </c>
      <c r="AG84">
        <f t="shared" si="59"/>
        <v>0</v>
      </c>
      <c r="AH84">
        <f t="shared" si="60"/>
        <v>155.25</v>
      </c>
      <c r="AI84">
        <f t="shared" si="61"/>
        <v>0</v>
      </c>
      <c r="AJ84">
        <f t="shared" si="62"/>
        <v>0</v>
      </c>
      <c r="AK84">
        <v>382339.99</v>
      </c>
      <c r="AL84">
        <v>354251.65</v>
      </c>
      <c r="AM84">
        <v>28.45</v>
      </c>
      <c r="AN84">
        <v>7.0000000000000007E-2</v>
      </c>
      <c r="AO84">
        <v>28059.89</v>
      </c>
      <c r="AP84">
        <v>0</v>
      </c>
      <c r="AQ84">
        <v>155.25</v>
      </c>
      <c r="AR84">
        <v>0</v>
      </c>
      <c r="AS84">
        <v>0</v>
      </c>
      <c r="AT84">
        <v>70</v>
      </c>
      <c r="AU84">
        <v>10</v>
      </c>
      <c r="AV84">
        <v>1</v>
      </c>
      <c r="AW84">
        <v>1</v>
      </c>
      <c r="AZ84">
        <v>1</v>
      </c>
      <c r="BA84">
        <v>1</v>
      </c>
      <c r="BB84">
        <v>1</v>
      </c>
      <c r="BC84">
        <v>1</v>
      </c>
      <c r="BD84" t="s">
        <v>3</v>
      </c>
      <c r="BE84" t="s">
        <v>3</v>
      </c>
      <c r="BF84" t="s">
        <v>3</v>
      </c>
      <c r="BG84" t="s">
        <v>3</v>
      </c>
      <c r="BH84">
        <v>0</v>
      </c>
      <c r="BI84">
        <v>4</v>
      </c>
      <c r="BJ84" t="s">
        <v>151</v>
      </c>
      <c r="BM84">
        <v>0</v>
      </c>
      <c r="BN84">
        <v>0</v>
      </c>
      <c r="BO84" t="s">
        <v>3</v>
      </c>
      <c r="BP84">
        <v>0</v>
      </c>
      <c r="BQ84">
        <v>1</v>
      </c>
      <c r="BR84">
        <v>0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 t="s">
        <v>3</v>
      </c>
      <c r="BZ84">
        <v>70</v>
      </c>
      <c r="CA84">
        <v>10</v>
      </c>
      <c r="CE84">
        <v>0</v>
      </c>
      <c r="CF84">
        <v>0</v>
      </c>
      <c r="CG84">
        <v>0</v>
      </c>
      <c r="CM84">
        <v>0</v>
      </c>
      <c r="CN84" t="s">
        <v>3</v>
      </c>
      <c r="CO84">
        <v>0</v>
      </c>
      <c r="CP84">
        <f t="shared" si="63"/>
        <v>61.17</v>
      </c>
      <c r="CQ84">
        <f t="shared" si="64"/>
        <v>354251.65</v>
      </c>
      <c r="CR84">
        <f t="shared" si="65"/>
        <v>28.45</v>
      </c>
      <c r="CS84">
        <f t="shared" si="66"/>
        <v>7.0000000000000007E-2</v>
      </c>
      <c r="CT84">
        <f t="shared" si="67"/>
        <v>28059.89</v>
      </c>
      <c r="CU84">
        <f t="shared" si="68"/>
        <v>0</v>
      </c>
      <c r="CV84">
        <f t="shared" si="69"/>
        <v>155.25</v>
      </c>
      <c r="CW84">
        <f t="shared" si="70"/>
        <v>0</v>
      </c>
      <c r="CX84">
        <f t="shared" si="71"/>
        <v>0</v>
      </c>
      <c r="CY84">
        <f t="shared" si="72"/>
        <v>3.1430000000000002</v>
      </c>
      <c r="CZ84">
        <f t="shared" si="73"/>
        <v>0.44900000000000007</v>
      </c>
      <c r="DC84" t="s">
        <v>3</v>
      </c>
      <c r="DD84" t="s">
        <v>3</v>
      </c>
      <c r="DE84" t="s">
        <v>3</v>
      </c>
      <c r="DF84" t="s">
        <v>3</v>
      </c>
      <c r="DG84" t="s">
        <v>3</v>
      </c>
      <c r="DH84" t="s">
        <v>3</v>
      </c>
      <c r="DI84" t="s">
        <v>3</v>
      </c>
      <c r="DJ84" t="s">
        <v>3</v>
      </c>
      <c r="DK84" t="s">
        <v>3</v>
      </c>
      <c r="DL84" t="s">
        <v>3</v>
      </c>
      <c r="DM84" t="s">
        <v>3</v>
      </c>
      <c r="DN84">
        <v>0</v>
      </c>
      <c r="DO84">
        <v>0</v>
      </c>
      <c r="DP84">
        <v>1</v>
      </c>
      <c r="DQ84">
        <v>1</v>
      </c>
      <c r="DU84">
        <v>1007</v>
      </c>
      <c r="DV84" t="s">
        <v>108</v>
      </c>
      <c r="DW84" t="s">
        <v>108</v>
      </c>
      <c r="DX84">
        <v>100</v>
      </c>
      <c r="EE84">
        <v>38447819</v>
      </c>
      <c r="EF84">
        <v>1</v>
      </c>
      <c r="EG84" t="s">
        <v>23</v>
      </c>
      <c r="EH84">
        <v>0</v>
      </c>
      <c r="EI84" t="s">
        <v>3</v>
      </c>
      <c r="EJ84">
        <v>4</v>
      </c>
      <c r="EK84">
        <v>0</v>
      </c>
      <c r="EL84" t="s">
        <v>24</v>
      </c>
      <c r="EM84" t="s">
        <v>25</v>
      </c>
      <c r="EO84" t="s">
        <v>3</v>
      </c>
      <c r="EQ84">
        <v>0</v>
      </c>
      <c r="ER84">
        <v>382339.99</v>
      </c>
      <c r="ES84">
        <v>354251.65</v>
      </c>
      <c r="ET84">
        <v>28.45</v>
      </c>
      <c r="EU84">
        <v>7.0000000000000007E-2</v>
      </c>
      <c r="EV84">
        <v>28059.89</v>
      </c>
      <c r="EW84">
        <v>155.25</v>
      </c>
      <c r="EX84">
        <v>0</v>
      </c>
      <c r="EY84">
        <v>0</v>
      </c>
      <c r="FQ84">
        <v>0</v>
      </c>
      <c r="FR84">
        <f t="shared" si="74"/>
        <v>0</v>
      </c>
      <c r="FS84">
        <v>0</v>
      </c>
      <c r="FX84">
        <v>70</v>
      </c>
      <c r="FY84">
        <v>10</v>
      </c>
      <c r="GA84" t="s">
        <v>3</v>
      </c>
      <c r="GD84">
        <v>0</v>
      </c>
      <c r="GF84">
        <v>-904643448</v>
      </c>
      <c r="GG84">
        <v>2</v>
      </c>
      <c r="GH84">
        <v>1</v>
      </c>
      <c r="GI84">
        <v>-2</v>
      </c>
      <c r="GJ84">
        <v>0</v>
      </c>
      <c r="GK84">
        <f>ROUND(R84*(R12)/100,2)</f>
        <v>0</v>
      </c>
      <c r="GL84">
        <f t="shared" si="75"/>
        <v>0</v>
      </c>
      <c r="GM84">
        <f t="shared" si="76"/>
        <v>64.760000000000005</v>
      </c>
      <c r="GN84">
        <f t="shared" si="77"/>
        <v>0</v>
      </c>
      <c r="GO84">
        <f t="shared" si="78"/>
        <v>0</v>
      </c>
      <c r="GP84">
        <f t="shared" si="79"/>
        <v>64.760000000000005</v>
      </c>
      <c r="GR84">
        <v>0</v>
      </c>
      <c r="GS84">
        <v>3</v>
      </c>
      <c r="GT84">
        <v>0</v>
      </c>
      <c r="GU84" t="s">
        <v>3</v>
      </c>
      <c r="GV84">
        <f t="shared" si="80"/>
        <v>0</v>
      </c>
      <c r="GW84">
        <v>1</v>
      </c>
      <c r="GX84">
        <f t="shared" si="81"/>
        <v>0</v>
      </c>
      <c r="HA84">
        <v>0</v>
      </c>
      <c r="HB84">
        <v>0</v>
      </c>
      <c r="HC84">
        <f t="shared" si="82"/>
        <v>0</v>
      </c>
      <c r="HE84" t="s">
        <v>3</v>
      </c>
      <c r="HF84" t="s">
        <v>3</v>
      </c>
      <c r="IK84">
        <v>0</v>
      </c>
    </row>
    <row r="85" spans="1:245" x14ac:dyDescent="0.2">
      <c r="A85">
        <v>17</v>
      </c>
      <c r="B85">
        <v>1</v>
      </c>
      <c r="C85">
        <f>ROW(SmtRes!A70)</f>
        <v>70</v>
      </c>
      <c r="D85">
        <f>ROW(EtalonRes!A67)</f>
        <v>67</v>
      </c>
      <c r="E85" t="s">
        <v>152</v>
      </c>
      <c r="F85" t="s">
        <v>153</v>
      </c>
      <c r="G85" t="s">
        <v>154</v>
      </c>
      <c r="H85" t="s">
        <v>155</v>
      </c>
      <c r="I85">
        <v>0.67017000000000004</v>
      </c>
      <c r="J85">
        <v>0</v>
      </c>
      <c r="O85">
        <f t="shared" si="43"/>
        <v>62606.239999999998</v>
      </c>
      <c r="P85">
        <f t="shared" si="44"/>
        <v>54353.61</v>
      </c>
      <c r="Q85">
        <f t="shared" si="45"/>
        <v>184.36</v>
      </c>
      <c r="R85">
        <f t="shared" si="46"/>
        <v>0.88</v>
      </c>
      <c r="S85">
        <f t="shared" si="47"/>
        <v>8068.27</v>
      </c>
      <c r="T85">
        <f t="shared" si="48"/>
        <v>0</v>
      </c>
      <c r="U85">
        <f t="shared" si="49"/>
        <v>32.757909600000005</v>
      </c>
      <c r="V85">
        <f t="shared" si="50"/>
        <v>0</v>
      </c>
      <c r="W85">
        <f t="shared" si="51"/>
        <v>0</v>
      </c>
      <c r="X85">
        <f t="shared" si="52"/>
        <v>5647.79</v>
      </c>
      <c r="Y85">
        <f t="shared" si="53"/>
        <v>806.83</v>
      </c>
      <c r="AA85">
        <v>38799519</v>
      </c>
      <c r="AB85">
        <f t="shared" si="54"/>
        <v>93418.44</v>
      </c>
      <c r="AC85">
        <f t="shared" si="55"/>
        <v>81104.210000000006</v>
      </c>
      <c r="AD85">
        <f t="shared" si="56"/>
        <v>275.08999999999997</v>
      </c>
      <c r="AE85">
        <f t="shared" si="57"/>
        <v>1.31</v>
      </c>
      <c r="AF85">
        <f t="shared" si="58"/>
        <v>12039.14</v>
      </c>
      <c r="AG85">
        <f t="shared" si="59"/>
        <v>0</v>
      </c>
      <c r="AH85">
        <f t="shared" si="60"/>
        <v>48.88</v>
      </c>
      <c r="AI85">
        <f t="shared" si="61"/>
        <v>0</v>
      </c>
      <c r="AJ85">
        <f t="shared" si="62"/>
        <v>0</v>
      </c>
      <c r="AK85">
        <v>93418.44</v>
      </c>
      <c r="AL85">
        <v>81104.210000000006</v>
      </c>
      <c r="AM85">
        <v>275.08999999999997</v>
      </c>
      <c r="AN85">
        <v>1.31</v>
      </c>
      <c r="AO85">
        <v>12039.14</v>
      </c>
      <c r="AP85">
        <v>0</v>
      </c>
      <c r="AQ85">
        <v>48.88</v>
      </c>
      <c r="AR85">
        <v>0</v>
      </c>
      <c r="AS85">
        <v>0</v>
      </c>
      <c r="AT85">
        <v>70</v>
      </c>
      <c r="AU85">
        <v>10</v>
      </c>
      <c r="AV85">
        <v>1</v>
      </c>
      <c r="AW85">
        <v>1</v>
      </c>
      <c r="AZ85">
        <v>1</v>
      </c>
      <c r="BA85">
        <v>1</v>
      </c>
      <c r="BB85">
        <v>1</v>
      </c>
      <c r="BC85">
        <v>1</v>
      </c>
      <c r="BD85" t="s">
        <v>3</v>
      </c>
      <c r="BE85" t="s">
        <v>3</v>
      </c>
      <c r="BF85" t="s">
        <v>3</v>
      </c>
      <c r="BG85" t="s">
        <v>3</v>
      </c>
      <c r="BH85">
        <v>0</v>
      </c>
      <c r="BI85">
        <v>4</v>
      </c>
      <c r="BJ85" t="s">
        <v>156</v>
      </c>
      <c r="BM85">
        <v>0</v>
      </c>
      <c r="BN85">
        <v>0</v>
      </c>
      <c r="BO85" t="s">
        <v>3</v>
      </c>
      <c r="BP85">
        <v>0</v>
      </c>
      <c r="BQ85">
        <v>1</v>
      </c>
      <c r="BR85">
        <v>0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 t="s">
        <v>3</v>
      </c>
      <c r="BZ85">
        <v>70</v>
      </c>
      <c r="CA85">
        <v>10</v>
      </c>
      <c r="CE85">
        <v>0</v>
      </c>
      <c r="CF85">
        <v>0</v>
      </c>
      <c r="CG85">
        <v>0</v>
      </c>
      <c r="CM85">
        <v>0</v>
      </c>
      <c r="CN85" t="s">
        <v>3</v>
      </c>
      <c r="CO85">
        <v>0</v>
      </c>
      <c r="CP85">
        <f t="shared" si="63"/>
        <v>62606.240000000005</v>
      </c>
      <c r="CQ85">
        <f t="shared" si="64"/>
        <v>81104.210000000006</v>
      </c>
      <c r="CR85">
        <f t="shared" si="65"/>
        <v>275.08999999999997</v>
      </c>
      <c r="CS85">
        <f t="shared" si="66"/>
        <v>1.31</v>
      </c>
      <c r="CT85">
        <f t="shared" si="67"/>
        <v>12039.14</v>
      </c>
      <c r="CU85">
        <f t="shared" si="68"/>
        <v>0</v>
      </c>
      <c r="CV85">
        <f t="shared" si="69"/>
        <v>48.88</v>
      </c>
      <c r="CW85">
        <f t="shared" si="70"/>
        <v>0</v>
      </c>
      <c r="CX85">
        <f t="shared" si="71"/>
        <v>0</v>
      </c>
      <c r="CY85">
        <f t="shared" si="72"/>
        <v>5647.7890000000007</v>
      </c>
      <c r="CZ85">
        <f t="shared" si="73"/>
        <v>806.82700000000011</v>
      </c>
      <c r="DC85" t="s">
        <v>3</v>
      </c>
      <c r="DD85" t="s">
        <v>3</v>
      </c>
      <c r="DE85" t="s">
        <v>3</v>
      </c>
      <c r="DF85" t="s">
        <v>3</v>
      </c>
      <c r="DG85" t="s">
        <v>3</v>
      </c>
      <c r="DH85" t="s">
        <v>3</v>
      </c>
      <c r="DI85" t="s">
        <v>3</v>
      </c>
      <c r="DJ85" t="s">
        <v>3</v>
      </c>
      <c r="DK85" t="s">
        <v>3</v>
      </c>
      <c r="DL85" t="s">
        <v>3</v>
      </c>
      <c r="DM85" t="s">
        <v>3</v>
      </c>
      <c r="DN85">
        <v>0</v>
      </c>
      <c r="DO85">
        <v>0</v>
      </c>
      <c r="DP85">
        <v>1</v>
      </c>
      <c r="DQ85">
        <v>1</v>
      </c>
      <c r="DU85">
        <v>1009</v>
      </c>
      <c r="DV85" t="s">
        <v>155</v>
      </c>
      <c r="DW85" t="s">
        <v>155</v>
      </c>
      <c r="DX85">
        <v>1000</v>
      </c>
      <c r="EE85">
        <v>38447819</v>
      </c>
      <c r="EF85">
        <v>1</v>
      </c>
      <c r="EG85" t="s">
        <v>23</v>
      </c>
      <c r="EH85">
        <v>0</v>
      </c>
      <c r="EI85" t="s">
        <v>3</v>
      </c>
      <c r="EJ85">
        <v>4</v>
      </c>
      <c r="EK85">
        <v>0</v>
      </c>
      <c r="EL85" t="s">
        <v>24</v>
      </c>
      <c r="EM85" t="s">
        <v>25</v>
      </c>
      <c r="EO85" t="s">
        <v>3</v>
      </c>
      <c r="EQ85">
        <v>0</v>
      </c>
      <c r="ER85">
        <v>93418.44</v>
      </c>
      <c r="ES85">
        <v>81104.210000000006</v>
      </c>
      <c r="ET85">
        <v>275.08999999999997</v>
      </c>
      <c r="EU85">
        <v>1.31</v>
      </c>
      <c r="EV85">
        <v>12039.14</v>
      </c>
      <c r="EW85">
        <v>48.88</v>
      </c>
      <c r="EX85">
        <v>0</v>
      </c>
      <c r="EY85">
        <v>0</v>
      </c>
      <c r="FQ85">
        <v>0</v>
      </c>
      <c r="FR85">
        <f t="shared" si="74"/>
        <v>0</v>
      </c>
      <c r="FS85">
        <v>0</v>
      </c>
      <c r="FX85">
        <v>70</v>
      </c>
      <c r="FY85">
        <v>10</v>
      </c>
      <c r="GA85" t="s">
        <v>3</v>
      </c>
      <c r="GD85">
        <v>0</v>
      </c>
      <c r="GF85">
        <v>1727457197</v>
      </c>
      <c r="GG85">
        <v>2</v>
      </c>
      <c r="GH85">
        <v>1</v>
      </c>
      <c r="GI85">
        <v>-2</v>
      </c>
      <c r="GJ85">
        <v>0</v>
      </c>
      <c r="GK85">
        <f>ROUND(R85*(R12)/100,2)</f>
        <v>0.95</v>
      </c>
      <c r="GL85">
        <f t="shared" si="75"/>
        <v>0</v>
      </c>
      <c r="GM85">
        <f t="shared" si="76"/>
        <v>69061.81</v>
      </c>
      <c r="GN85">
        <f t="shared" si="77"/>
        <v>0</v>
      </c>
      <c r="GO85">
        <f t="shared" si="78"/>
        <v>0</v>
      </c>
      <c r="GP85">
        <f t="shared" si="79"/>
        <v>69061.81</v>
      </c>
      <c r="GR85">
        <v>0</v>
      </c>
      <c r="GS85">
        <v>3</v>
      </c>
      <c r="GT85">
        <v>0</v>
      </c>
      <c r="GU85" t="s">
        <v>3</v>
      </c>
      <c r="GV85">
        <f t="shared" si="80"/>
        <v>0</v>
      </c>
      <c r="GW85">
        <v>1</v>
      </c>
      <c r="GX85">
        <f t="shared" si="81"/>
        <v>0</v>
      </c>
      <c r="HA85">
        <v>0</v>
      </c>
      <c r="HB85">
        <v>0</v>
      </c>
      <c r="HC85">
        <f t="shared" si="82"/>
        <v>0</v>
      </c>
      <c r="HE85" t="s">
        <v>3</v>
      </c>
      <c r="HF85" t="s">
        <v>3</v>
      </c>
      <c r="IK85">
        <v>0</v>
      </c>
    </row>
    <row r="86" spans="1:245" x14ac:dyDescent="0.2">
      <c r="A86">
        <v>18</v>
      </c>
      <c r="B86">
        <v>1</v>
      </c>
      <c r="C86">
        <v>70</v>
      </c>
      <c r="E86" t="s">
        <v>157</v>
      </c>
      <c r="F86" t="s">
        <v>158</v>
      </c>
      <c r="G86" t="s">
        <v>159</v>
      </c>
      <c r="H86" t="s">
        <v>155</v>
      </c>
      <c r="I86">
        <f>I85*J86</f>
        <v>-0.67017000000000004</v>
      </c>
      <c r="J86">
        <v>-1</v>
      </c>
      <c r="O86">
        <f t="shared" si="43"/>
        <v>-53833.91</v>
      </c>
      <c r="P86">
        <f t="shared" si="44"/>
        <v>-53833.91</v>
      </c>
      <c r="Q86">
        <f t="shared" si="45"/>
        <v>0</v>
      </c>
      <c r="R86">
        <f t="shared" si="46"/>
        <v>0</v>
      </c>
      <c r="S86">
        <f t="shared" si="47"/>
        <v>0</v>
      </c>
      <c r="T86">
        <f t="shared" si="48"/>
        <v>0</v>
      </c>
      <c r="U86">
        <f t="shared" si="49"/>
        <v>0</v>
      </c>
      <c r="V86">
        <f t="shared" si="50"/>
        <v>0</v>
      </c>
      <c r="W86">
        <f t="shared" si="51"/>
        <v>0</v>
      </c>
      <c r="X86">
        <f t="shared" si="52"/>
        <v>0</v>
      </c>
      <c r="Y86">
        <f t="shared" si="53"/>
        <v>0</v>
      </c>
      <c r="AA86">
        <v>38799519</v>
      </c>
      <c r="AB86">
        <f t="shared" si="54"/>
        <v>80328.740000000005</v>
      </c>
      <c r="AC86">
        <f t="shared" si="55"/>
        <v>80328.740000000005</v>
      </c>
      <c r="AD86">
        <f t="shared" si="56"/>
        <v>0</v>
      </c>
      <c r="AE86">
        <f t="shared" si="57"/>
        <v>0</v>
      </c>
      <c r="AF86">
        <f t="shared" si="58"/>
        <v>0</v>
      </c>
      <c r="AG86">
        <f t="shared" si="59"/>
        <v>0</v>
      </c>
      <c r="AH86">
        <f t="shared" si="60"/>
        <v>0</v>
      </c>
      <c r="AI86">
        <f t="shared" si="61"/>
        <v>0</v>
      </c>
      <c r="AJ86">
        <f t="shared" si="62"/>
        <v>0</v>
      </c>
      <c r="AK86">
        <v>80328.740000000005</v>
      </c>
      <c r="AL86">
        <v>80328.740000000005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70</v>
      </c>
      <c r="AU86">
        <v>10</v>
      </c>
      <c r="AV86">
        <v>1</v>
      </c>
      <c r="AW86">
        <v>1</v>
      </c>
      <c r="AZ86">
        <v>1</v>
      </c>
      <c r="BA86">
        <v>1</v>
      </c>
      <c r="BB86">
        <v>1</v>
      </c>
      <c r="BC86">
        <v>1</v>
      </c>
      <c r="BD86" t="s">
        <v>3</v>
      </c>
      <c r="BE86" t="s">
        <v>3</v>
      </c>
      <c r="BF86" t="s">
        <v>3</v>
      </c>
      <c r="BG86" t="s">
        <v>3</v>
      </c>
      <c r="BH86">
        <v>3</v>
      </c>
      <c r="BI86">
        <v>4</v>
      </c>
      <c r="BJ86" t="s">
        <v>160</v>
      </c>
      <c r="BM86">
        <v>0</v>
      </c>
      <c r="BN86">
        <v>0</v>
      </c>
      <c r="BO86" t="s">
        <v>3</v>
      </c>
      <c r="BP86">
        <v>0</v>
      </c>
      <c r="BQ86">
        <v>1</v>
      </c>
      <c r="BR86">
        <v>0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 t="s">
        <v>3</v>
      </c>
      <c r="BZ86">
        <v>70</v>
      </c>
      <c r="CA86">
        <v>10</v>
      </c>
      <c r="CE86">
        <v>0</v>
      </c>
      <c r="CF86">
        <v>0</v>
      </c>
      <c r="CG86">
        <v>0</v>
      </c>
      <c r="CM86">
        <v>0</v>
      </c>
      <c r="CN86" t="s">
        <v>3</v>
      </c>
      <c r="CO86">
        <v>0</v>
      </c>
      <c r="CP86">
        <f t="shared" si="63"/>
        <v>-53833.91</v>
      </c>
      <c r="CQ86">
        <f t="shared" si="64"/>
        <v>80328.740000000005</v>
      </c>
      <c r="CR86">
        <f t="shared" si="65"/>
        <v>0</v>
      </c>
      <c r="CS86">
        <f t="shared" si="66"/>
        <v>0</v>
      </c>
      <c r="CT86">
        <f t="shared" si="67"/>
        <v>0</v>
      </c>
      <c r="CU86">
        <f t="shared" si="68"/>
        <v>0</v>
      </c>
      <c r="CV86">
        <f t="shared" si="69"/>
        <v>0</v>
      </c>
      <c r="CW86">
        <f t="shared" si="70"/>
        <v>0</v>
      </c>
      <c r="CX86">
        <f t="shared" si="71"/>
        <v>0</v>
      </c>
      <c r="CY86">
        <f t="shared" si="72"/>
        <v>0</v>
      </c>
      <c r="CZ86">
        <f t="shared" si="73"/>
        <v>0</v>
      </c>
      <c r="DC86" t="s">
        <v>3</v>
      </c>
      <c r="DD86" t="s">
        <v>3</v>
      </c>
      <c r="DE86" t="s">
        <v>3</v>
      </c>
      <c r="DF86" t="s">
        <v>3</v>
      </c>
      <c r="DG86" t="s">
        <v>3</v>
      </c>
      <c r="DH86" t="s">
        <v>3</v>
      </c>
      <c r="DI86" t="s">
        <v>3</v>
      </c>
      <c r="DJ86" t="s">
        <v>3</v>
      </c>
      <c r="DK86" t="s">
        <v>3</v>
      </c>
      <c r="DL86" t="s">
        <v>3</v>
      </c>
      <c r="DM86" t="s">
        <v>3</v>
      </c>
      <c r="DN86">
        <v>0</v>
      </c>
      <c r="DO86">
        <v>0</v>
      </c>
      <c r="DP86">
        <v>1</v>
      </c>
      <c r="DQ86">
        <v>1</v>
      </c>
      <c r="DU86">
        <v>1009</v>
      </c>
      <c r="DV86" t="s">
        <v>155</v>
      </c>
      <c r="DW86" t="s">
        <v>155</v>
      </c>
      <c r="DX86">
        <v>1000</v>
      </c>
      <c r="EE86">
        <v>38447819</v>
      </c>
      <c r="EF86">
        <v>1</v>
      </c>
      <c r="EG86" t="s">
        <v>23</v>
      </c>
      <c r="EH86">
        <v>0</v>
      </c>
      <c r="EI86" t="s">
        <v>3</v>
      </c>
      <c r="EJ86">
        <v>4</v>
      </c>
      <c r="EK86">
        <v>0</v>
      </c>
      <c r="EL86" t="s">
        <v>24</v>
      </c>
      <c r="EM86" t="s">
        <v>25</v>
      </c>
      <c r="EO86" t="s">
        <v>3</v>
      </c>
      <c r="EQ86">
        <v>0</v>
      </c>
      <c r="ER86">
        <v>80328.740000000005</v>
      </c>
      <c r="ES86">
        <v>80328.740000000005</v>
      </c>
      <c r="ET86">
        <v>0</v>
      </c>
      <c r="EU86">
        <v>0</v>
      </c>
      <c r="EV86">
        <v>0</v>
      </c>
      <c r="EW86">
        <v>0</v>
      </c>
      <c r="EX86">
        <v>0</v>
      </c>
      <c r="FQ86">
        <v>0</v>
      </c>
      <c r="FR86">
        <f t="shared" si="74"/>
        <v>0</v>
      </c>
      <c r="FS86">
        <v>0</v>
      </c>
      <c r="FX86">
        <v>70</v>
      </c>
      <c r="FY86">
        <v>10</v>
      </c>
      <c r="GA86" t="s">
        <v>3</v>
      </c>
      <c r="GD86">
        <v>0</v>
      </c>
      <c r="GF86">
        <v>2073736509</v>
      </c>
      <c r="GG86">
        <v>2</v>
      </c>
      <c r="GH86">
        <v>1</v>
      </c>
      <c r="GI86">
        <v>-2</v>
      </c>
      <c r="GJ86">
        <v>0</v>
      </c>
      <c r="GK86">
        <f>ROUND(R86*(R12)/100,2)</f>
        <v>0</v>
      </c>
      <c r="GL86">
        <f t="shared" si="75"/>
        <v>0</v>
      </c>
      <c r="GM86">
        <f t="shared" si="76"/>
        <v>-53833.91</v>
      </c>
      <c r="GN86">
        <f t="shared" si="77"/>
        <v>0</v>
      </c>
      <c r="GO86">
        <f t="shared" si="78"/>
        <v>0</v>
      </c>
      <c r="GP86">
        <f t="shared" si="79"/>
        <v>-53833.91</v>
      </c>
      <c r="GR86">
        <v>0</v>
      </c>
      <c r="GS86">
        <v>3</v>
      </c>
      <c r="GT86">
        <v>0</v>
      </c>
      <c r="GU86" t="s">
        <v>3</v>
      </c>
      <c r="GV86">
        <f t="shared" si="80"/>
        <v>0</v>
      </c>
      <c r="GW86">
        <v>1</v>
      </c>
      <c r="GX86">
        <f t="shared" si="81"/>
        <v>0</v>
      </c>
      <c r="HA86">
        <v>0</v>
      </c>
      <c r="HB86">
        <v>0</v>
      </c>
      <c r="HC86">
        <f t="shared" si="82"/>
        <v>0</v>
      </c>
      <c r="HE86" t="s">
        <v>3</v>
      </c>
      <c r="HF86" t="s">
        <v>3</v>
      </c>
      <c r="IK86">
        <v>0</v>
      </c>
    </row>
    <row r="87" spans="1:245" x14ac:dyDescent="0.2">
      <c r="A87">
        <v>18</v>
      </c>
      <c r="B87">
        <v>1</v>
      </c>
      <c r="C87">
        <v>67</v>
      </c>
      <c r="E87" t="s">
        <v>161</v>
      </c>
      <c r="F87" t="s">
        <v>162</v>
      </c>
      <c r="G87" t="s">
        <v>163</v>
      </c>
      <c r="H87" t="s">
        <v>155</v>
      </c>
      <c r="I87">
        <f>I85*J87</f>
        <v>0.67017000000000004</v>
      </c>
      <c r="J87">
        <v>1</v>
      </c>
      <c r="O87">
        <f t="shared" si="43"/>
        <v>25016.97</v>
      </c>
      <c r="P87">
        <f t="shared" si="44"/>
        <v>25016.97</v>
      </c>
      <c r="Q87">
        <f t="shared" si="45"/>
        <v>0</v>
      </c>
      <c r="R87">
        <f t="shared" si="46"/>
        <v>0</v>
      </c>
      <c r="S87">
        <f t="shared" si="47"/>
        <v>0</v>
      </c>
      <c r="T87">
        <f t="shared" si="48"/>
        <v>0</v>
      </c>
      <c r="U87">
        <f t="shared" si="49"/>
        <v>0</v>
      </c>
      <c r="V87">
        <f t="shared" si="50"/>
        <v>0</v>
      </c>
      <c r="W87">
        <f t="shared" si="51"/>
        <v>0</v>
      </c>
      <c r="X87">
        <f t="shared" si="52"/>
        <v>0</v>
      </c>
      <c r="Y87">
        <f t="shared" si="53"/>
        <v>0</v>
      </c>
      <c r="AA87">
        <v>38799519</v>
      </c>
      <c r="AB87">
        <f t="shared" si="54"/>
        <v>37329.29</v>
      </c>
      <c r="AC87">
        <f t="shared" si="55"/>
        <v>37329.29</v>
      </c>
      <c r="AD87">
        <f t="shared" si="56"/>
        <v>0</v>
      </c>
      <c r="AE87">
        <f t="shared" si="57"/>
        <v>0</v>
      </c>
      <c r="AF87">
        <f t="shared" si="58"/>
        <v>0</v>
      </c>
      <c r="AG87">
        <f t="shared" si="59"/>
        <v>0</v>
      </c>
      <c r="AH87">
        <f t="shared" si="60"/>
        <v>0</v>
      </c>
      <c r="AI87">
        <f t="shared" si="61"/>
        <v>0</v>
      </c>
      <c r="AJ87">
        <f t="shared" si="62"/>
        <v>0</v>
      </c>
      <c r="AK87">
        <v>37329.29</v>
      </c>
      <c r="AL87">
        <v>37329.29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70</v>
      </c>
      <c r="AU87">
        <v>10</v>
      </c>
      <c r="AV87">
        <v>1</v>
      </c>
      <c r="AW87">
        <v>1</v>
      </c>
      <c r="AZ87">
        <v>1</v>
      </c>
      <c r="BA87">
        <v>1</v>
      </c>
      <c r="BB87">
        <v>1</v>
      </c>
      <c r="BC87">
        <v>1</v>
      </c>
      <c r="BD87" t="s">
        <v>3</v>
      </c>
      <c r="BE87" t="s">
        <v>3</v>
      </c>
      <c r="BF87" t="s">
        <v>3</v>
      </c>
      <c r="BG87" t="s">
        <v>3</v>
      </c>
      <c r="BH87">
        <v>3</v>
      </c>
      <c r="BI87">
        <v>4</v>
      </c>
      <c r="BJ87" t="s">
        <v>164</v>
      </c>
      <c r="BM87">
        <v>0</v>
      </c>
      <c r="BN87">
        <v>0</v>
      </c>
      <c r="BO87" t="s">
        <v>3</v>
      </c>
      <c r="BP87">
        <v>0</v>
      </c>
      <c r="BQ87">
        <v>1</v>
      </c>
      <c r="BR87">
        <v>0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 t="s">
        <v>3</v>
      </c>
      <c r="BZ87">
        <v>70</v>
      </c>
      <c r="CA87">
        <v>10</v>
      </c>
      <c r="CE87">
        <v>0</v>
      </c>
      <c r="CF87">
        <v>0</v>
      </c>
      <c r="CG87">
        <v>0</v>
      </c>
      <c r="CM87">
        <v>0</v>
      </c>
      <c r="CN87" t="s">
        <v>3</v>
      </c>
      <c r="CO87">
        <v>0</v>
      </c>
      <c r="CP87">
        <f t="shared" si="63"/>
        <v>25016.97</v>
      </c>
      <c r="CQ87">
        <f t="shared" si="64"/>
        <v>37329.29</v>
      </c>
      <c r="CR87">
        <f t="shared" si="65"/>
        <v>0</v>
      </c>
      <c r="CS87">
        <f t="shared" si="66"/>
        <v>0</v>
      </c>
      <c r="CT87">
        <f t="shared" si="67"/>
        <v>0</v>
      </c>
      <c r="CU87">
        <f t="shared" si="68"/>
        <v>0</v>
      </c>
      <c r="CV87">
        <f t="shared" si="69"/>
        <v>0</v>
      </c>
      <c r="CW87">
        <f t="shared" si="70"/>
        <v>0</v>
      </c>
      <c r="CX87">
        <f t="shared" si="71"/>
        <v>0</v>
      </c>
      <c r="CY87">
        <f t="shared" si="72"/>
        <v>0</v>
      </c>
      <c r="CZ87">
        <f t="shared" si="73"/>
        <v>0</v>
      </c>
      <c r="DC87" t="s">
        <v>3</v>
      </c>
      <c r="DD87" t="s">
        <v>3</v>
      </c>
      <c r="DE87" t="s">
        <v>3</v>
      </c>
      <c r="DF87" t="s">
        <v>3</v>
      </c>
      <c r="DG87" t="s">
        <v>3</v>
      </c>
      <c r="DH87" t="s">
        <v>3</v>
      </c>
      <c r="DI87" t="s">
        <v>3</v>
      </c>
      <c r="DJ87" t="s">
        <v>3</v>
      </c>
      <c r="DK87" t="s">
        <v>3</v>
      </c>
      <c r="DL87" t="s">
        <v>3</v>
      </c>
      <c r="DM87" t="s">
        <v>3</v>
      </c>
      <c r="DN87">
        <v>0</v>
      </c>
      <c r="DO87">
        <v>0</v>
      </c>
      <c r="DP87">
        <v>1</v>
      </c>
      <c r="DQ87">
        <v>1</v>
      </c>
      <c r="DU87">
        <v>1009</v>
      </c>
      <c r="DV87" t="s">
        <v>155</v>
      </c>
      <c r="DW87" t="s">
        <v>155</v>
      </c>
      <c r="DX87">
        <v>1000</v>
      </c>
      <c r="EE87">
        <v>38447819</v>
      </c>
      <c r="EF87">
        <v>1</v>
      </c>
      <c r="EG87" t="s">
        <v>23</v>
      </c>
      <c r="EH87">
        <v>0</v>
      </c>
      <c r="EI87" t="s">
        <v>3</v>
      </c>
      <c r="EJ87">
        <v>4</v>
      </c>
      <c r="EK87">
        <v>0</v>
      </c>
      <c r="EL87" t="s">
        <v>24</v>
      </c>
      <c r="EM87" t="s">
        <v>25</v>
      </c>
      <c r="EO87" t="s">
        <v>3</v>
      </c>
      <c r="EQ87">
        <v>0</v>
      </c>
      <c r="ER87">
        <v>37329.29</v>
      </c>
      <c r="ES87">
        <v>37329.29</v>
      </c>
      <c r="ET87">
        <v>0</v>
      </c>
      <c r="EU87">
        <v>0</v>
      </c>
      <c r="EV87">
        <v>0</v>
      </c>
      <c r="EW87">
        <v>0</v>
      </c>
      <c r="EX87">
        <v>0</v>
      </c>
      <c r="FQ87">
        <v>0</v>
      </c>
      <c r="FR87">
        <f t="shared" si="74"/>
        <v>0</v>
      </c>
      <c r="FS87">
        <v>0</v>
      </c>
      <c r="FX87">
        <v>70</v>
      </c>
      <c r="FY87">
        <v>10</v>
      </c>
      <c r="GA87" t="s">
        <v>3</v>
      </c>
      <c r="GD87">
        <v>0</v>
      </c>
      <c r="GF87">
        <v>209443868</v>
      </c>
      <c r="GG87">
        <v>2</v>
      </c>
      <c r="GH87">
        <v>1</v>
      </c>
      <c r="GI87">
        <v>-2</v>
      </c>
      <c r="GJ87">
        <v>0</v>
      </c>
      <c r="GK87">
        <f>ROUND(R87*(R12)/100,2)</f>
        <v>0</v>
      </c>
      <c r="GL87">
        <f t="shared" si="75"/>
        <v>0</v>
      </c>
      <c r="GM87">
        <f t="shared" si="76"/>
        <v>25016.97</v>
      </c>
      <c r="GN87">
        <f t="shared" si="77"/>
        <v>0</v>
      </c>
      <c r="GO87">
        <f t="shared" si="78"/>
        <v>0</v>
      </c>
      <c r="GP87">
        <f t="shared" si="79"/>
        <v>25016.97</v>
      </c>
      <c r="GR87">
        <v>0</v>
      </c>
      <c r="GS87">
        <v>3</v>
      </c>
      <c r="GT87">
        <v>0</v>
      </c>
      <c r="GU87" t="s">
        <v>3</v>
      </c>
      <c r="GV87">
        <f t="shared" si="80"/>
        <v>0</v>
      </c>
      <c r="GW87">
        <v>1</v>
      </c>
      <c r="GX87">
        <f t="shared" si="81"/>
        <v>0</v>
      </c>
      <c r="HA87">
        <v>0</v>
      </c>
      <c r="HB87">
        <v>0</v>
      </c>
      <c r="HC87">
        <f t="shared" si="82"/>
        <v>0</v>
      </c>
      <c r="HE87" t="s">
        <v>3</v>
      </c>
      <c r="HF87" t="s">
        <v>3</v>
      </c>
      <c r="IK87">
        <v>0</v>
      </c>
    </row>
    <row r="88" spans="1:245" x14ac:dyDescent="0.2">
      <c r="A88">
        <v>17</v>
      </c>
      <c r="B88">
        <v>1</v>
      </c>
      <c r="C88">
        <f>ROW(SmtRes!A81)</f>
        <v>81</v>
      </c>
      <c r="D88">
        <f>ROW(EtalonRes!A78)</f>
        <v>78</v>
      </c>
      <c r="E88" t="s">
        <v>165</v>
      </c>
      <c r="F88" t="s">
        <v>166</v>
      </c>
      <c r="G88" t="s">
        <v>167</v>
      </c>
      <c r="H88" t="s">
        <v>155</v>
      </c>
      <c r="I88">
        <v>1.11307</v>
      </c>
      <c r="J88">
        <v>0</v>
      </c>
      <c r="O88">
        <f t="shared" si="43"/>
        <v>82569.53</v>
      </c>
      <c r="P88">
        <f t="shared" si="44"/>
        <v>44251.21</v>
      </c>
      <c r="Q88">
        <f t="shared" si="45"/>
        <v>2085.4</v>
      </c>
      <c r="R88">
        <f t="shared" si="46"/>
        <v>388.34</v>
      </c>
      <c r="S88">
        <f t="shared" si="47"/>
        <v>36232.92</v>
      </c>
      <c r="T88">
        <f t="shared" si="48"/>
        <v>0</v>
      </c>
      <c r="U88">
        <f t="shared" si="49"/>
        <v>140.80335500000001</v>
      </c>
      <c r="V88">
        <f t="shared" si="50"/>
        <v>0</v>
      </c>
      <c r="W88">
        <f t="shared" si="51"/>
        <v>0</v>
      </c>
      <c r="X88">
        <f t="shared" si="52"/>
        <v>25363.040000000001</v>
      </c>
      <c r="Y88">
        <f t="shared" si="53"/>
        <v>3623.29</v>
      </c>
      <c r="AA88">
        <v>38799519</v>
      </c>
      <c r="AB88">
        <f t="shared" si="54"/>
        <v>74181.8</v>
      </c>
      <c r="AC88">
        <f t="shared" si="55"/>
        <v>39756</v>
      </c>
      <c r="AD88">
        <f t="shared" si="56"/>
        <v>1873.56</v>
      </c>
      <c r="AE88">
        <f t="shared" si="57"/>
        <v>348.89</v>
      </c>
      <c r="AF88">
        <f t="shared" si="58"/>
        <v>32552.240000000002</v>
      </c>
      <c r="AG88">
        <f t="shared" si="59"/>
        <v>0</v>
      </c>
      <c r="AH88">
        <f t="shared" si="60"/>
        <v>126.5</v>
      </c>
      <c r="AI88">
        <f t="shared" si="61"/>
        <v>0</v>
      </c>
      <c r="AJ88">
        <f t="shared" si="62"/>
        <v>0</v>
      </c>
      <c r="AK88">
        <v>74181.8</v>
      </c>
      <c r="AL88">
        <v>39756</v>
      </c>
      <c r="AM88">
        <v>1873.56</v>
      </c>
      <c r="AN88">
        <v>348.89</v>
      </c>
      <c r="AO88">
        <v>32552.240000000002</v>
      </c>
      <c r="AP88">
        <v>0</v>
      </c>
      <c r="AQ88">
        <v>126.5</v>
      </c>
      <c r="AR88">
        <v>0</v>
      </c>
      <c r="AS88">
        <v>0</v>
      </c>
      <c r="AT88">
        <v>70</v>
      </c>
      <c r="AU88">
        <v>10</v>
      </c>
      <c r="AV88">
        <v>1</v>
      </c>
      <c r="AW88">
        <v>1</v>
      </c>
      <c r="AZ88">
        <v>1</v>
      </c>
      <c r="BA88">
        <v>1</v>
      </c>
      <c r="BB88">
        <v>1</v>
      </c>
      <c r="BC88">
        <v>1</v>
      </c>
      <c r="BD88" t="s">
        <v>3</v>
      </c>
      <c r="BE88" t="s">
        <v>3</v>
      </c>
      <c r="BF88" t="s">
        <v>3</v>
      </c>
      <c r="BG88" t="s">
        <v>3</v>
      </c>
      <c r="BH88">
        <v>0</v>
      </c>
      <c r="BI88">
        <v>4</v>
      </c>
      <c r="BJ88" t="s">
        <v>168</v>
      </c>
      <c r="BM88">
        <v>0</v>
      </c>
      <c r="BN88">
        <v>0</v>
      </c>
      <c r="BO88" t="s">
        <v>3</v>
      </c>
      <c r="BP88">
        <v>0</v>
      </c>
      <c r="BQ88">
        <v>1</v>
      </c>
      <c r="BR88">
        <v>0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 t="s">
        <v>3</v>
      </c>
      <c r="BZ88">
        <v>70</v>
      </c>
      <c r="CA88">
        <v>10</v>
      </c>
      <c r="CE88">
        <v>0</v>
      </c>
      <c r="CF88">
        <v>0</v>
      </c>
      <c r="CG88">
        <v>0</v>
      </c>
      <c r="CM88">
        <v>0</v>
      </c>
      <c r="CN88" t="s">
        <v>3</v>
      </c>
      <c r="CO88">
        <v>0</v>
      </c>
      <c r="CP88">
        <f t="shared" si="63"/>
        <v>82569.53</v>
      </c>
      <c r="CQ88">
        <f t="shared" si="64"/>
        <v>39756</v>
      </c>
      <c r="CR88">
        <f t="shared" si="65"/>
        <v>1873.56</v>
      </c>
      <c r="CS88">
        <f t="shared" si="66"/>
        <v>348.89</v>
      </c>
      <c r="CT88">
        <f t="shared" si="67"/>
        <v>32552.240000000002</v>
      </c>
      <c r="CU88">
        <f t="shared" si="68"/>
        <v>0</v>
      </c>
      <c r="CV88">
        <f t="shared" si="69"/>
        <v>126.5</v>
      </c>
      <c r="CW88">
        <f t="shared" si="70"/>
        <v>0</v>
      </c>
      <c r="CX88">
        <f t="shared" si="71"/>
        <v>0</v>
      </c>
      <c r="CY88">
        <f t="shared" si="72"/>
        <v>25363.043999999998</v>
      </c>
      <c r="CZ88">
        <f t="shared" si="73"/>
        <v>3623.2919999999995</v>
      </c>
      <c r="DC88" t="s">
        <v>3</v>
      </c>
      <c r="DD88" t="s">
        <v>3</v>
      </c>
      <c r="DE88" t="s">
        <v>3</v>
      </c>
      <c r="DF88" t="s">
        <v>3</v>
      </c>
      <c r="DG88" t="s">
        <v>3</v>
      </c>
      <c r="DH88" t="s">
        <v>3</v>
      </c>
      <c r="DI88" t="s">
        <v>3</v>
      </c>
      <c r="DJ88" t="s">
        <v>3</v>
      </c>
      <c r="DK88" t="s">
        <v>3</v>
      </c>
      <c r="DL88" t="s">
        <v>3</v>
      </c>
      <c r="DM88" t="s">
        <v>3</v>
      </c>
      <c r="DN88">
        <v>0</v>
      </c>
      <c r="DO88">
        <v>0</v>
      </c>
      <c r="DP88">
        <v>1</v>
      </c>
      <c r="DQ88">
        <v>1</v>
      </c>
      <c r="DU88">
        <v>1009</v>
      </c>
      <c r="DV88" t="s">
        <v>155</v>
      </c>
      <c r="DW88" t="s">
        <v>155</v>
      </c>
      <c r="DX88">
        <v>1000</v>
      </c>
      <c r="EE88">
        <v>38447819</v>
      </c>
      <c r="EF88">
        <v>1</v>
      </c>
      <c r="EG88" t="s">
        <v>23</v>
      </c>
      <c r="EH88">
        <v>0</v>
      </c>
      <c r="EI88" t="s">
        <v>3</v>
      </c>
      <c r="EJ88">
        <v>4</v>
      </c>
      <c r="EK88">
        <v>0</v>
      </c>
      <c r="EL88" t="s">
        <v>24</v>
      </c>
      <c r="EM88" t="s">
        <v>25</v>
      </c>
      <c r="EO88" t="s">
        <v>3</v>
      </c>
      <c r="EQ88">
        <v>0</v>
      </c>
      <c r="ER88">
        <v>74181.8</v>
      </c>
      <c r="ES88">
        <v>39756</v>
      </c>
      <c r="ET88">
        <v>1873.56</v>
      </c>
      <c r="EU88">
        <v>348.89</v>
      </c>
      <c r="EV88">
        <v>32552.240000000002</v>
      </c>
      <c r="EW88">
        <v>126.5</v>
      </c>
      <c r="EX88">
        <v>0</v>
      </c>
      <c r="EY88">
        <v>0</v>
      </c>
      <c r="FQ88">
        <v>0</v>
      </c>
      <c r="FR88">
        <f t="shared" si="74"/>
        <v>0</v>
      </c>
      <c r="FS88">
        <v>0</v>
      </c>
      <c r="FX88">
        <v>70</v>
      </c>
      <c r="FY88">
        <v>10</v>
      </c>
      <c r="GA88" t="s">
        <v>3</v>
      </c>
      <c r="GD88">
        <v>0</v>
      </c>
      <c r="GF88">
        <v>-836713114</v>
      </c>
      <c r="GG88">
        <v>2</v>
      </c>
      <c r="GH88">
        <v>1</v>
      </c>
      <c r="GI88">
        <v>-2</v>
      </c>
      <c r="GJ88">
        <v>0</v>
      </c>
      <c r="GK88">
        <f>ROUND(R88*(R12)/100,2)</f>
        <v>419.41</v>
      </c>
      <c r="GL88">
        <f t="shared" si="75"/>
        <v>0</v>
      </c>
      <c r="GM88">
        <f t="shared" si="76"/>
        <v>111975.27</v>
      </c>
      <c r="GN88">
        <f t="shared" si="77"/>
        <v>0</v>
      </c>
      <c r="GO88">
        <f t="shared" si="78"/>
        <v>0</v>
      </c>
      <c r="GP88">
        <f t="shared" si="79"/>
        <v>111975.27</v>
      </c>
      <c r="GR88">
        <v>0</v>
      </c>
      <c r="GS88">
        <v>3</v>
      </c>
      <c r="GT88">
        <v>0</v>
      </c>
      <c r="GU88" t="s">
        <v>3</v>
      </c>
      <c r="GV88">
        <f t="shared" si="80"/>
        <v>0</v>
      </c>
      <c r="GW88">
        <v>1</v>
      </c>
      <c r="GX88">
        <f t="shared" si="81"/>
        <v>0</v>
      </c>
      <c r="HA88">
        <v>0</v>
      </c>
      <c r="HB88">
        <v>0</v>
      </c>
      <c r="HC88">
        <f t="shared" si="82"/>
        <v>0</v>
      </c>
      <c r="HE88" t="s">
        <v>3</v>
      </c>
      <c r="HF88" t="s">
        <v>3</v>
      </c>
      <c r="IK88">
        <v>0</v>
      </c>
    </row>
    <row r="89" spans="1:245" x14ac:dyDescent="0.2">
      <c r="A89">
        <v>17</v>
      </c>
      <c r="B89">
        <v>1</v>
      </c>
      <c r="C89">
        <f>ROW(SmtRes!A86)</f>
        <v>86</v>
      </c>
      <c r="D89">
        <f>ROW(EtalonRes!A83)</f>
        <v>83</v>
      </c>
      <c r="E89" t="s">
        <v>169</v>
      </c>
      <c r="F89" t="s">
        <v>170</v>
      </c>
      <c r="G89" t="s">
        <v>171</v>
      </c>
      <c r="H89" t="s">
        <v>155</v>
      </c>
      <c r="I89">
        <v>1.11307</v>
      </c>
      <c r="J89">
        <v>0</v>
      </c>
      <c r="O89">
        <f t="shared" si="43"/>
        <v>109757.69</v>
      </c>
      <c r="P89">
        <f t="shared" si="44"/>
        <v>84068.43</v>
      </c>
      <c r="Q89">
        <f t="shared" si="45"/>
        <v>655.6</v>
      </c>
      <c r="R89">
        <f t="shared" si="46"/>
        <v>28.55</v>
      </c>
      <c r="S89">
        <f t="shared" si="47"/>
        <v>25033.66</v>
      </c>
      <c r="T89">
        <f t="shared" si="48"/>
        <v>0</v>
      </c>
      <c r="U89">
        <f t="shared" si="49"/>
        <v>97.282318000000004</v>
      </c>
      <c r="V89">
        <f t="shared" si="50"/>
        <v>0</v>
      </c>
      <c r="W89">
        <f t="shared" si="51"/>
        <v>0</v>
      </c>
      <c r="X89">
        <f t="shared" si="52"/>
        <v>17523.560000000001</v>
      </c>
      <c r="Y89">
        <f t="shared" si="53"/>
        <v>2503.37</v>
      </c>
      <c r="AA89">
        <v>38799519</v>
      </c>
      <c r="AB89">
        <f t="shared" si="54"/>
        <v>98608.07</v>
      </c>
      <c r="AC89">
        <f t="shared" si="55"/>
        <v>75528.429999999993</v>
      </c>
      <c r="AD89">
        <f t="shared" si="56"/>
        <v>589</v>
      </c>
      <c r="AE89">
        <f t="shared" si="57"/>
        <v>25.65</v>
      </c>
      <c r="AF89">
        <f t="shared" si="58"/>
        <v>22490.639999999999</v>
      </c>
      <c r="AG89">
        <f t="shared" si="59"/>
        <v>0</v>
      </c>
      <c r="AH89">
        <f t="shared" si="60"/>
        <v>87.4</v>
      </c>
      <c r="AI89">
        <f t="shared" si="61"/>
        <v>0</v>
      </c>
      <c r="AJ89">
        <f t="shared" si="62"/>
        <v>0</v>
      </c>
      <c r="AK89">
        <v>98608.07</v>
      </c>
      <c r="AL89">
        <v>75528.429999999993</v>
      </c>
      <c r="AM89">
        <v>589</v>
      </c>
      <c r="AN89">
        <v>25.65</v>
      </c>
      <c r="AO89">
        <v>22490.639999999999</v>
      </c>
      <c r="AP89">
        <v>0</v>
      </c>
      <c r="AQ89">
        <v>87.4</v>
      </c>
      <c r="AR89">
        <v>0</v>
      </c>
      <c r="AS89">
        <v>0</v>
      </c>
      <c r="AT89">
        <v>70</v>
      </c>
      <c r="AU89">
        <v>10</v>
      </c>
      <c r="AV89">
        <v>1</v>
      </c>
      <c r="AW89">
        <v>1</v>
      </c>
      <c r="AZ89">
        <v>1</v>
      </c>
      <c r="BA89">
        <v>1</v>
      </c>
      <c r="BB89">
        <v>1</v>
      </c>
      <c r="BC89">
        <v>1</v>
      </c>
      <c r="BD89" t="s">
        <v>3</v>
      </c>
      <c r="BE89" t="s">
        <v>3</v>
      </c>
      <c r="BF89" t="s">
        <v>3</v>
      </c>
      <c r="BG89" t="s">
        <v>3</v>
      </c>
      <c r="BH89">
        <v>0</v>
      </c>
      <c r="BI89">
        <v>4</v>
      </c>
      <c r="BJ89" t="s">
        <v>172</v>
      </c>
      <c r="BM89">
        <v>0</v>
      </c>
      <c r="BN89">
        <v>0</v>
      </c>
      <c r="BO89" t="s">
        <v>3</v>
      </c>
      <c r="BP89">
        <v>0</v>
      </c>
      <c r="BQ89">
        <v>1</v>
      </c>
      <c r="BR89">
        <v>0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 t="s">
        <v>3</v>
      </c>
      <c r="BZ89">
        <v>70</v>
      </c>
      <c r="CA89">
        <v>10</v>
      </c>
      <c r="CE89">
        <v>0</v>
      </c>
      <c r="CF89">
        <v>0</v>
      </c>
      <c r="CG89">
        <v>0</v>
      </c>
      <c r="CM89">
        <v>0</v>
      </c>
      <c r="CN89" t="s">
        <v>3</v>
      </c>
      <c r="CO89">
        <v>0</v>
      </c>
      <c r="CP89">
        <f t="shared" si="63"/>
        <v>109757.69</v>
      </c>
      <c r="CQ89">
        <f t="shared" si="64"/>
        <v>75528.429999999993</v>
      </c>
      <c r="CR89">
        <f t="shared" si="65"/>
        <v>589</v>
      </c>
      <c r="CS89">
        <f t="shared" si="66"/>
        <v>25.65</v>
      </c>
      <c r="CT89">
        <f t="shared" si="67"/>
        <v>22490.639999999999</v>
      </c>
      <c r="CU89">
        <f t="shared" si="68"/>
        <v>0</v>
      </c>
      <c r="CV89">
        <f t="shared" si="69"/>
        <v>87.4</v>
      </c>
      <c r="CW89">
        <f t="shared" si="70"/>
        <v>0</v>
      </c>
      <c r="CX89">
        <f t="shared" si="71"/>
        <v>0</v>
      </c>
      <c r="CY89">
        <f t="shared" si="72"/>
        <v>17523.561999999998</v>
      </c>
      <c r="CZ89">
        <f t="shared" si="73"/>
        <v>2503.366</v>
      </c>
      <c r="DC89" t="s">
        <v>3</v>
      </c>
      <c r="DD89" t="s">
        <v>3</v>
      </c>
      <c r="DE89" t="s">
        <v>3</v>
      </c>
      <c r="DF89" t="s">
        <v>3</v>
      </c>
      <c r="DG89" t="s">
        <v>3</v>
      </c>
      <c r="DH89" t="s">
        <v>3</v>
      </c>
      <c r="DI89" t="s">
        <v>3</v>
      </c>
      <c r="DJ89" t="s">
        <v>3</v>
      </c>
      <c r="DK89" t="s">
        <v>3</v>
      </c>
      <c r="DL89" t="s">
        <v>3</v>
      </c>
      <c r="DM89" t="s">
        <v>3</v>
      </c>
      <c r="DN89">
        <v>0</v>
      </c>
      <c r="DO89">
        <v>0</v>
      </c>
      <c r="DP89">
        <v>1</v>
      </c>
      <c r="DQ89">
        <v>1</v>
      </c>
      <c r="DU89">
        <v>1009</v>
      </c>
      <c r="DV89" t="s">
        <v>155</v>
      </c>
      <c r="DW89" t="s">
        <v>155</v>
      </c>
      <c r="DX89">
        <v>1000</v>
      </c>
      <c r="EE89">
        <v>38447819</v>
      </c>
      <c r="EF89">
        <v>1</v>
      </c>
      <c r="EG89" t="s">
        <v>23</v>
      </c>
      <c r="EH89">
        <v>0</v>
      </c>
      <c r="EI89" t="s">
        <v>3</v>
      </c>
      <c r="EJ89">
        <v>4</v>
      </c>
      <c r="EK89">
        <v>0</v>
      </c>
      <c r="EL89" t="s">
        <v>24</v>
      </c>
      <c r="EM89" t="s">
        <v>25</v>
      </c>
      <c r="EO89" t="s">
        <v>3</v>
      </c>
      <c r="EQ89">
        <v>0</v>
      </c>
      <c r="ER89">
        <v>98608.07</v>
      </c>
      <c r="ES89">
        <v>75528.429999999993</v>
      </c>
      <c r="ET89">
        <v>589</v>
      </c>
      <c r="EU89">
        <v>25.65</v>
      </c>
      <c r="EV89">
        <v>22490.639999999999</v>
      </c>
      <c r="EW89">
        <v>87.4</v>
      </c>
      <c r="EX89">
        <v>0</v>
      </c>
      <c r="EY89">
        <v>0</v>
      </c>
      <c r="FQ89">
        <v>0</v>
      </c>
      <c r="FR89">
        <f t="shared" si="74"/>
        <v>0</v>
      </c>
      <c r="FS89">
        <v>0</v>
      </c>
      <c r="FX89">
        <v>70</v>
      </c>
      <c r="FY89">
        <v>10</v>
      </c>
      <c r="GA89" t="s">
        <v>3</v>
      </c>
      <c r="GD89">
        <v>0</v>
      </c>
      <c r="GF89">
        <v>-1542919465</v>
      </c>
      <c r="GG89">
        <v>2</v>
      </c>
      <c r="GH89">
        <v>1</v>
      </c>
      <c r="GI89">
        <v>-2</v>
      </c>
      <c r="GJ89">
        <v>0</v>
      </c>
      <c r="GK89">
        <f>ROUND(R89*(R12)/100,2)</f>
        <v>30.83</v>
      </c>
      <c r="GL89">
        <f t="shared" si="75"/>
        <v>0</v>
      </c>
      <c r="GM89">
        <f t="shared" si="76"/>
        <v>129815.45</v>
      </c>
      <c r="GN89">
        <f t="shared" si="77"/>
        <v>0</v>
      </c>
      <c r="GO89">
        <f t="shared" si="78"/>
        <v>0</v>
      </c>
      <c r="GP89">
        <f t="shared" si="79"/>
        <v>129815.45</v>
      </c>
      <c r="GR89">
        <v>0</v>
      </c>
      <c r="GS89">
        <v>3</v>
      </c>
      <c r="GT89">
        <v>0</v>
      </c>
      <c r="GU89" t="s">
        <v>3</v>
      </c>
      <c r="GV89">
        <f t="shared" si="80"/>
        <v>0</v>
      </c>
      <c r="GW89">
        <v>1</v>
      </c>
      <c r="GX89">
        <f t="shared" si="81"/>
        <v>0</v>
      </c>
      <c r="HA89">
        <v>0</v>
      </c>
      <c r="HB89">
        <v>0</v>
      </c>
      <c r="HC89">
        <f t="shared" si="82"/>
        <v>0</v>
      </c>
      <c r="HE89" t="s">
        <v>3</v>
      </c>
      <c r="HF89" t="s">
        <v>3</v>
      </c>
      <c r="IK89">
        <v>0</v>
      </c>
    </row>
    <row r="90" spans="1:245" x14ac:dyDescent="0.2">
      <c r="A90">
        <v>17</v>
      </c>
      <c r="B90">
        <v>1</v>
      </c>
      <c r="C90">
        <f>ROW(SmtRes!A89)</f>
        <v>89</v>
      </c>
      <c r="D90">
        <f>ROW(EtalonRes!A86)</f>
        <v>86</v>
      </c>
      <c r="E90" t="s">
        <v>173</v>
      </c>
      <c r="F90" t="s">
        <v>174</v>
      </c>
      <c r="G90" t="s">
        <v>175</v>
      </c>
      <c r="H90" t="s">
        <v>19</v>
      </c>
      <c r="I90">
        <f>ROUND(90/100,9)</f>
        <v>0.9</v>
      </c>
      <c r="J90">
        <v>0</v>
      </c>
      <c r="O90">
        <f t="shared" si="43"/>
        <v>16680.97</v>
      </c>
      <c r="P90">
        <f t="shared" si="44"/>
        <v>1983.58</v>
      </c>
      <c r="Q90">
        <f t="shared" si="45"/>
        <v>0</v>
      </c>
      <c r="R90">
        <f t="shared" si="46"/>
        <v>0</v>
      </c>
      <c r="S90">
        <f t="shared" si="47"/>
        <v>14697.39</v>
      </c>
      <c r="T90">
        <f t="shared" si="48"/>
        <v>0</v>
      </c>
      <c r="U90">
        <f t="shared" si="49"/>
        <v>66.861000000000004</v>
      </c>
      <c r="V90">
        <f t="shared" si="50"/>
        <v>0</v>
      </c>
      <c r="W90">
        <f t="shared" si="51"/>
        <v>0</v>
      </c>
      <c r="X90">
        <f t="shared" si="52"/>
        <v>10288.17</v>
      </c>
      <c r="Y90">
        <f t="shared" si="53"/>
        <v>1469.74</v>
      </c>
      <c r="AA90">
        <v>38799519</v>
      </c>
      <c r="AB90">
        <f t="shared" si="54"/>
        <v>18534.41</v>
      </c>
      <c r="AC90">
        <f t="shared" si="55"/>
        <v>2203.98</v>
      </c>
      <c r="AD90">
        <f t="shared" si="56"/>
        <v>0</v>
      </c>
      <c r="AE90">
        <f t="shared" si="57"/>
        <v>0</v>
      </c>
      <c r="AF90">
        <f t="shared" si="58"/>
        <v>16330.43</v>
      </c>
      <c r="AG90">
        <f t="shared" si="59"/>
        <v>0</v>
      </c>
      <c r="AH90">
        <f t="shared" si="60"/>
        <v>74.290000000000006</v>
      </c>
      <c r="AI90">
        <f t="shared" si="61"/>
        <v>0</v>
      </c>
      <c r="AJ90">
        <f t="shared" si="62"/>
        <v>0</v>
      </c>
      <c r="AK90">
        <v>18534.41</v>
      </c>
      <c r="AL90">
        <v>2203.98</v>
      </c>
      <c r="AM90">
        <v>0</v>
      </c>
      <c r="AN90">
        <v>0</v>
      </c>
      <c r="AO90">
        <v>16330.43</v>
      </c>
      <c r="AP90">
        <v>0</v>
      </c>
      <c r="AQ90">
        <v>74.290000000000006</v>
      </c>
      <c r="AR90">
        <v>0</v>
      </c>
      <c r="AS90">
        <v>0</v>
      </c>
      <c r="AT90">
        <v>70</v>
      </c>
      <c r="AU90">
        <v>10</v>
      </c>
      <c r="AV90">
        <v>1</v>
      </c>
      <c r="AW90">
        <v>1</v>
      </c>
      <c r="AZ90">
        <v>1</v>
      </c>
      <c r="BA90">
        <v>1</v>
      </c>
      <c r="BB90">
        <v>1</v>
      </c>
      <c r="BC90">
        <v>1</v>
      </c>
      <c r="BD90" t="s">
        <v>3</v>
      </c>
      <c r="BE90" t="s">
        <v>3</v>
      </c>
      <c r="BF90" t="s">
        <v>3</v>
      </c>
      <c r="BG90" t="s">
        <v>3</v>
      </c>
      <c r="BH90">
        <v>0</v>
      </c>
      <c r="BI90">
        <v>4</v>
      </c>
      <c r="BJ90" t="s">
        <v>176</v>
      </c>
      <c r="BM90">
        <v>0</v>
      </c>
      <c r="BN90">
        <v>0</v>
      </c>
      <c r="BO90" t="s">
        <v>3</v>
      </c>
      <c r="BP90">
        <v>0</v>
      </c>
      <c r="BQ90">
        <v>1</v>
      </c>
      <c r="BR90">
        <v>0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 t="s">
        <v>3</v>
      </c>
      <c r="BZ90">
        <v>70</v>
      </c>
      <c r="CA90">
        <v>10</v>
      </c>
      <c r="CE90">
        <v>0</v>
      </c>
      <c r="CF90">
        <v>0</v>
      </c>
      <c r="CG90">
        <v>0</v>
      </c>
      <c r="CM90">
        <v>0</v>
      </c>
      <c r="CN90" t="s">
        <v>3</v>
      </c>
      <c r="CO90">
        <v>0</v>
      </c>
      <c r="CP90">
        <f t="shared" si="63"/>
        <v>16680.97</v>
      </c>
      <c r="CQ90">
        <f t="shared" si="64"/>
        <v>2203.98</v>
      </c>
      <c r="CR90">
        <f t="shared" si="65"/>
        <v>0</v>
      </c>
      <c r="CS90">
        <f t="shared" si="66"/>
        <v>0</v>
      </c>
      <c r="CT90">
        <f t="shared" si="67"/>
        <v>16330.43</v>
      </c>
      <c r="CU90">
        <f t="shared" si="68"/>
        <v>0</v>
      </c>
      <c r="CV90">
        <f t="shared" si="69"/>
        <v>74.290000000000006</v>
      </c>
      <c r="CW90">
        <f t="shared" si="70"/>
        <v>0</v>
      </c>
      <c r="CX90">
        <f t="shared" si="71"/>
        <v>0</v>
      </c>
      <c r="CY90">
        <f t="shared" si="72"/>
        <v>10288.172999999999</v>
      </c>
      <c r="CZ90">
        <f t="shared" si="73"/>
        <v>1469.739</v>
      </c>
      <c r="DC90" t="s">
        <v>3</v>
      </c>
      <c r="DD90" t="s">
        <v>3</v>
      </c>
      <c r="DE90" t="s">
        <v>3</v>
      </c>
      <c r="DF90" t="s">
        <v>3</v>
      </c>
      <c r="DG90" t="s">
        <v>3</v>
      </c>
      <c r="DH90" t="s">
        <v>3</v>
      </c>
      <c r="DI90" t="s">
        <v>3</v>
      </c>
      <c r="DJ90" t="s">
        <v>3</v>
      </c>
      <c r="DK90" t="s">
        <v>3</v>
      </c>
      <c r="DL90" t="s">
        <v>3</v>
      </c>
      <c r="DM90" t="s">
        <v>3</v>
      </c>
      <c r="DN90">
        <v>0</v>
      </c>
      <c r="DO90">
        <v>0</v>
      </c>
      <c r="DP90">
        <v>1</v>
      </c>
      <c r="DQ90">
        <v>1</v>
      </c>
      <c r="DU90">
        <v>1005</v>
      </c>
      <c r="DV90" t="s">
        <v>19</v>
      </c>
      <c r="DW90" t="s">
        <v>19</v>
      </c>
      <c r="DX90">
        <v>100</v>
      </c>
      <c r="EE90">
        <v>38447819</v>
      </c>
      <c r="EF90">
        <v>1</v>
      </c>
      <c r="EG90" t="s">
        <v>23</v>
      </c>
      <c r="EH90">
        <v>0</v>
      </c>
      <c r="EI90" t="s">
        <v>3</v>
      </c>
      <c r="EJ90">
        <v>4</v>
      </c>
      <c r="EK90">
        <v>0</v>
      </c>
      <c r="EL90" t="s">
        <v>24</v>
      </c>
      <c r="EM90" t="s">
        <v>25</v>
      </c>
      <c r="EO90" t="s">
        <v>3</v>
      </c>
      <c r="EQ90">
        <v>0</v>
      </c>
      <c r="ER90">
        <v>18534.41</v>
      </c>
      <c r="ES90">
        <v>2203.98</v>
      </c>
      <c r="ET90">
        <v>0</v>
      </c>
      <c r="EU90">
        <v>0</v>
      </c>
      <c r="EV90">
        <v>16330.43</v>
      </c>
      <c r="EW90">
        <v>74.290000000000006</v>
      </c>
      <c r="EX90">
        <v>0</v>
      </c>
      <c r="EY90">
        <v>0</v>
      </c>
      <c r="FQ90">
        <v>0</v>
      </c>
      <c r="FR90">
        <f t="shared" si="74"/>
        <v>0</v>
      </c>
      <c r="FS90">
        <v>0</v>
      </c>
      <c r="FX90">
        <v>70</v>
      </c>
      <c r="FY90">
        <v>10</v>
      </c>
      <c r="GA90" t="s">
        <v>3</v>
      </c>
      <c r="GD90">
        <v>0</v>
      </c>
      <c r="GF90">
        <v>1072959758</v>
      </c>
      <c r="GG90">
        <v>2</v>
      </c>
      <c r="GH90">
        <v>1</v>
      </c>
      <c r="GI90">
        <v>-2</v>
      </c>
      <c r="GJ90">
        <v>0</v>
      </c>
      <c r="GK90">
        <f>ROUND(R90*(R12)/100,2)</f>
        <v>0</v>
      </c>
      <c r="GL90">
        <f t="shared" si="75"/>
        <v>0</v>
      </c>
      <c r="GM90">
        <f t="shared" si="76"/>
        <v>28438.880000000001</v>
      </c>
      <c r="GN90">
        <f t="shared" si="77"/>
        <v>0</v>
      </c>
      <c r="GO90">
        <f t="shared" si="78"/>
        <v>0</v>
      </c>
      <c r="GP90">
        <f t="shared" si="79"/>
        <v>28438.880000000001</v>
      </c>
      <c r="GR90">
        <v>0</v>
      </c>
      <c r="GS90">
        <v>3</v>
      </c>
      <c r="GT90">
        <v>0</v>
      </c>
      <c r="GU90" t="s">
        <v>3</v>
      </c>
      <c r="GV90">
        <f t="shared" si="80"/>
        <v>0</v>
      </c>
      <c r="GW90">
        <v>1</v>
      </c>
      <c r="GX90">
        <f t="shared" si="81"/>
        <v>0</v>
      </c>
      <c r="HA90">
        <v>0</v>
      </c>
      <c r="HB90">
        <v>0</v>
      </c>
      <c r="HC90">
        <f t="shared" si="82"/>
        <v>0</v>
      </c>
      <c r="HE90" t="s">
        <v>3</v>
      </c>
      <c r="HF90" t="s">
        <v>3</v>
      </c>
      <c r="IK90">
        <v>0</v>
      </c>
    </row>
    <row r="91" spans="1:245" x14ac:dyDescent="0.2">
      <c r="A91">
        <v>17</v>
      </c>
      <c r="B91">
        <v>1</v>
      </c>
      <c r="C91">
        <f>ROW(SmtRes!A103)</f>
        <v>103</v>
      </c>
      <c r="D91">
        <f>ROW(EtalonRes!A100)</f>
        <v>100</v>
      </c>
      <c r="E91" t="s">
        <v>177</v>
      </c>
      <c r="F91" t="s">
        <v>178</v>
      </c>
      <c r="G91" t="s">
        <v>179</v>
      </c>
      <c r="H91" t="s">
        <v>19</v>
      </c>
      <c r="I91">
        <f>ROUND(142.44/100,9)</f>
        <v>1.4244000000000001</v>
      </c>
      <c r="J91">
        <v>0</v>
      </c>
      <c r="O91">
        <f t="shared" si="43"/>
        <v>102499.57</v>
      </c>
      <c r="P91">
        <f t="shared" si="44"/>
        <v>73133.7</v>
      </c>
      <c r="Q91">
        <f t="shared" si="45"/>
        <v>157.47999999999999</v>
      </c>
      <c r="R91">
        <f t="shared" si="46"/>
        <v>16.77</v>
      </c>
      <c r="S91">
        <f t="shared" si="47"/>
        <v>29208.39</v>
      </c>
      <c r="T91">
        <f t="shared" si="48"/>
        <v>0</v>
      </c>
      <c r="U91">
        <f t="shared" si="49"/>
        <v>129.62040000000002</v>
      </c>
      <c r="V91">
        <f t="shared" si="50"/>
        <v>0</v>
      </c>
      <c r="W91">
        <f t="shared" si="51"/>
        <v>0</v>
      </c>
      <c r="X91">
        <f t="shared" si="52"/>
        <v>20445.87</v>
      </c>
      <c r="Y91">
        <f t="shared" si="53"/>
        <v>2920.84</v>
      </c>
      <c r="AA91">
        <v>38799519</v>
      </c>
      <c r="AB91">
        <f t="shared" si="54"/>
        <v>71959.820000000007</v>
      </c>
      <c r="AC91">
        <f t="shared" si="55"/>
        <v>51343.51</v>
      </c>
      <c r="AD91">
        <f t="shared" si="56"/>
        <v>110.56</v>
      </c>
      <c r="AE91">
        <f t="shared" si="57"/>
        <v>11.77</v>
      </c>
      <c r="AF91">
        <f t="shared" si="58"/>
        <v>20505.75</v>
      </c>
      <c r="AG91">
        <f t="shared" si="59"/>
        <v>0</v>
      </c>
      <c r="AH91">
        <f t="shared" si="60"/>
        <v>91</v>
      </c>
      <c r="AI91">
        <f t="shared" si="61"/>
        <v>0</v>
      </c>
      <c r="AJ91">
        <f t="shared" si="62"/>
        <v>0</v>
      </c>
      <c r="AK91">
        <v>71959.820000000007</v>
      </c>
      <c r="AL91">
        <v>51343.51</v>
      </c>
      <c r="AM91">
        <v>110.56</v>
      </c>
      <c r="AN91">
        <v>11.77</v>
      </c>
      <c r="AO91">
        <v>20505.75</v>
      </c>
      <c r="AP91">
        <v>0</v>
      </c>
      <c r="AQ91">
        <v>91</v>
      </c>
      <c r="AR91">
        <v>0</v>
      </c>
      <c r="AS91">
        <v>0</v>
      </c>
      <c r="AT91">
        <v>70</v>
      </c>
      <c r="AU91">
        <v>10</v>
      </c>
      <c r="AV91">
        <v>1</v>
      </c>
      <c r="AW91">
        <v>1</v>
      </c>
      <c r="AZ91">
        <v>1</v>
      </c>
      <c r="BA91">
        <v>1</v>
      </c>
      <c r="BB91">
        <v>1</v>
      </c>
      <c r="BC91">
        <v>1</v>
      </c>
      <c r="BD91" t="s">
        <v>3</v>
      </c>
      <c r="BE91" t="s">
        <v>3</v>
      </c>
      <c r="BF91" t="s">
        <v>3</v>
      </c>
      <c r="BG91" t="s">
        <v>3</v>
      </c>
      <c r="BH91">
        <v>0</v>
      </c>
      <c r="BI91">
        <v>4</v>
      </c>
      <c r="BJ91" t="s">
        <v>180</v>
      </c>
      <c r="BM91">
        <v>0</v>
      </c>
      <c r="BN91">
        <v>0</v>
      </c>
      <c r="BO91" t="s">
        <v>3</v>
      </c>
      <c r="BP91">
        <v>0</v>
      </c>
      <c r="BQ91">
        <v>1</v>
      </c>
      <c r="BR91">
        <v>0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 t="s">
        <v>3</v>
      </c>
      <c r="BZ91">
        <v>70</v>
      </c>
      <c r="CA91">
        <v>10</v>
      </c>
      <c r="CE91">
        <v>0</v>
      </c>
      <c r="CF91">
        <v>0</v>
      </c>
      <c r="CG91">
        <v>0</v>
      </c>
      <c r="CM91">
        <v>0</v>
      </c>
      <c r="CN91" t="s">
        <v>3</v>
      </c>
      <c r="CO91">
        <v>0</v>
      </c>
      <c r="CP91">
        <f t="shared" si="63"/>
        <v>102499.56999999999</v>
      </c>
      <c r="CQ91">
        <f t="shared" si="64"/>
        <v>51343.51</v>
      </c>
      <c r="CR91">
        <f t="shared" si="65"/>
        <v>110.56</v>
      </c>
      <c r="CS91">
        <f t="shared" si="66"/>
        <v>11.77</v>
      </c>
      <c r="CT91">
        <f t="shared" si="67"/>
        <v>20505.75</v>
      </c>
      <c r="CU91">
        <f t="shared" si="68"/>
        <v>0</v>
      </c>
      <c r="CV91">
        <f t="shared" si="69"/>
        <v>91</v>
      </c>
      <c r="CW91">
        <f t="shared" si="70"/>
        <v>0</v>
      </c>
      <c r="CX91">
        <f t="shared" si="71"/>
        <v>0</v>
      </c>
      <c r="CY91">
        <f t="shared" si="72"/>
        <v>20445.873</v>
      </c>
      <c r="CZ91">
        <f t="shared" si="73"/>
        <v>2920.8390000000004</v>
      </c>
      <c r="DC91" t="s">
        <v>3</v>
      </c>
      <c r="DD91" t="s">
        <v>3</v>
      </c>
      <c r="DE91" t="s">
        <v>3</v>
      </c>
      <c r="DF91" t="s">
        <v>3</v>
      </c>
      <c r="DG91" t="s">
        <v>3</v>
      </c>
      <c r="DH91" t="s">
        <v>3</v>
      </c>
      <c r="DI91" t="s">
        <v>3</v>
      </c>
      <c r="DJ91" t="s">
        <v>3</v>
      </c>
      <c r="DK91" t="s">
        <v>3</v>
      </c>
      <c r="DL91" t="s">
        <v>3</v>
      </c>
      <c r="DM91" t="s">
        <v>3</v>
      </c>
      <c r="DN91">
        <v>0</v>
      </c>
      <c r="DO91">
        <v>0</v>
      </c>
      <c r="DP91">
        <v>1</v>
      </c>
      <c r="DQ91">
        <v>1</v>
      </c>
      <c r="DU91">
        <v>1005</v>
      </c>
      <c r="DV91" t="s">
        <v>19</v>
      </c>
      <c r="DW91" t="s">
        <v>19</v>
      </c>
      <c r="DX91">
        <v>100</v>
      </c>
      <c r="EE91">
        <v>38447819</v>
      </c>
      <c r="EF91">
        <v>1</v>
      </c>
      <c r="EG91" t="s">
        <v>23</v>
      </c>
      <c r="EH91">
        <v>0</v>
      </c>
      <c r="EI91" t="s">
        <v>3</v>
      </c>
      <c r="EJ91">
        <v>4</v>
      </c>
      <c r="EK91">
        <v>0</v>
      </c>
      <c r="EL91" t="s">
        <v>24</v>
      </c>
      <c r="EM91" t="s">
        <v>25</v>
      </c>
      <c r="EO91" t="s">
        <v>3</v>
      </c>
      <c r="EQ91">
        <v>0</v>
      </c>
      <c r="ER91">
        <v>71959.820000000007</v>
      </c>
      <c r="ES91">
        <v>51343.51</v>
      </c>
      <c r="ET91">
        <v>110.56</v>
      </c>
      <c r="EU91">
        <v>11.77</v>
      </c>
      <c r="EV91">
        <v>20505.75</v>
      </c>
      <c r="EW91">
        <v>91</v>
      </c>
      <c r="EX91">
        <v>0</v>
      </c>
      <c r="EY91">
        <v>0</v>
      </c>
      <c r="FQ91">
        <v>0</v>
      </c>
      <c r="FR91">
        <f t="shared" si="74"/>
        <v>0</v>
      </c>
      <c r="FS91">
        <v>0</v>
      </c>
      <c r="FX91">
        <v>70</v>
      </c>
      <c r="FY91">
        <v>10</v>
      </c>
      <c r="GA91" t="s">
        <v>3</v>
      </c>
      <c r="GD91">
        <v>0</v>
      </c>
      <c r="GF91">
        <v>-1372886937</v>
      </c>
      <c r="GG91">
        <v>2</v>
      </c>
      <c r="GH91">
        <v>1</v>
      </c>
      <c r="GI91">
        <v>-2</v>
      </c>
      <c r="GJ91">
        <v>0</v>
      </c>
      <c r="GK91">
        <f>ROUND(R91*(R12)/100,2)</f>
        <v>18.11</v>
      </c>
      <c r="GL91">
        <f t="shared" si="75"/>
        <v>0</v>
      </c>
      <c r="GM91">
        <f t="shared" si="76"/>
        <v>125884.39</v>
      </c>
      <c r="GN91">
        <f t="shared" si="77"/>
        <v>0</v>
      </c>
      <c r="GO91">
        <f t="shared" si="78"/>
        <v>0</v>
      </c>
      <c r="GP91">
        <f t="shared" si="79"/>
        <v>125884.39</v>
      </c>
      <c r="GR91">
        <v>0</v>
      </c>
      <c r="GS91">
        <v>3</v>
      </c>
      <c r="GT91">
        <v>0</v>
      </c>
      <c r="GU91" t="s">
        <v>3</v>
      </c>
      <c r="GV91">
        <f t="shared" si="80"/>
        <v>0</v>
      </c>
      <c r="GW91">
        <v>1</v>
      </c>
      <c r="GX91">
        <f t="shared" si="81"/>
        <v>0</v>
      </c>
      <c r="HA91">
        <v>0</v>
      </c>
      <c r="HB91">
        <v>0</v>
      </c>
      <c r="HC91">
        <f t="shared" si="82"/>
        <v>0</v>
      </c>
      <c r="HE91" t="s">
        <v>3</v>
      </c>
      <c r="HF91" t="s">
        <v>3</v>
      </c>
      <c r="IK91">
        <v>0</v>
      </c>
    </row>
    <row r="92" spans="1:245" x14ac:dyDescent="0.2">
      <c r="A92">
        <v>17</v>
      </c>
      <c r="B92">
        <v>1</v>
      </c>
      <c r="C92">
        <f>ROW(SmtRes!A111)</f>
        <v>111</v>
      </c>
      <c r="D92">
        <f>ROW(EtalonRes!A108)</f>
        <v>108</v>
      </c>
      <c r="E92" t="s">
        <v>181</v>
      </c>
      <c r="F92" t="s">
        <v>17</v>
      </c>
      <c r="G92" t="s">
        <v>18</v>
      </c>
      <c r="H92" t="s">
        <v>19</v>
      </c>
      <c r="I92">
        <f>ROUND(120/100,9)</f>
        <v>1.2</v>
      </c>
      <c r="J92">
        <v>0</v>
      </c>
      <c r="O92">
        <f t="shared" si="43"/>
        <v>60405.52</v>
      </c>
      <c r="P92">
        <f t="shared" si="44"/>
        <v>49108.62</v>
      </c>
      <c r="Q92">
        <f t="shared" si="45"/>
        <v>38.200000000000003</v>
      </c>
      <c r="R92">
        <f t="shared" si="46"/>
        <v>4.0999999999999996</v>
      </c>
      <c r="S92">
        <f t="shared" si="47"/>
        <v>11258.7</v>
      </c>
      <c r="T92">
        <f t="shared" si="48"/>
        <v>0</v>
      </c>
      <c r="U92">
        <f t="shared" si="49"/>
        <v>43.752000000000002</v>
      </c>
      <c r="V92">
        <f t="shared" si="50"/>
        <v>0</v>
      </c>
      <c r="W92">
        <f t="shared" si="51"/>
        <v>0</v>
      </c>
      <c r="X92">
        <f t="shared" si="52"/>
        <v>7881.09</v>
      </c>
      <c r="Y92">
        <f t="shared" si="53"/>
        <v>1125.8699999999999</v>
      </c>
      <c r="AA92">
        <v>38799519</v>
      </c>
      <c r="AB92">
        <f t="shared" si="54"/>
        <v>50337.93</v>
      </c>
      <c r="AC92">
        <f t="shared" si="55"/>
        <v>40923.85</v>
      </c>
      <c r="AD92">
        <f t="shared" si="56"/>
        <v>31.83</v>
      </c>
      <c r="AE92">
        <f t="shared" si="57"/>
        <v>3.42</v>
      </c>
      <c r="AF92">
        <f t="shared" si="58"/>
        <v>9382.25</v>
      </c>
      <c r="AG92">
        <f t="shared" si="59"/>
        <v>0</v>
      </c>
      <c r="AH92">
        <f t="shared" si="60"/>
        <v>36.46</v>
      </c>
      <c r="AI92">
        <f t="shared" si="61"/>
        <v>0</v>
      </c>
      <c r="AJ92">
        <f t="shared" si="62"/>
        <v>0</v>
      </c>
      <c r="AK92">
        <v>50337.93</v>
      </c>
      <c r="AL92">
        <v>40923.85</v>
      </c>
      <c r="AM92">
        <v>31.83</v>
      </c>
      <c r="AN92">
        <v>3.42</v>
      </c>
      <c r="AO92">
        <v>9382.25</v>
      </c>
      <c r="AP92">
        <v>0</v>
      </c>
      <c r="AQ92">
        <v>36.46</v>
      </c>
      <c r="AR92">
        <v>0</v>
      </c>
      <c r="AS92">
        <v>0</v>
      </c>
      <c r="AT92">
        <v>70</v>
      </c>
      <c r="AU92">
        <v>10</v>
      </c>
      <c r="AV92">
        <v>1</v>
      </c>
      <c r="AW92">
        <v>1</v>
      </c>
      <c r="AZ92">
        <v>1</v>
      </c>
      <c r="BA92">
        <v>1</v>
      </c>
      <c r="BB92">
        <v>1</v>
      </c>
      <c r="BC92">
        <v>1</v>
      </c>
      <c r="BD92" t="s">
        <v>3</v>
      </c>
      <c r="BE92" t="s">
        <v>3</v>
      </c>
      <c r="BF92" t="s">
        <v>3</v>
      </c>
      <c r="BG92" t="s">
        <v>3</v>
      </c>
      <c r="BH92">
        <v>0</v>
      </c>
      <c r="BI92">
        <v>4</v>
      </c>
      <c r="BJ92" t="s">
        <v>20</v>
      </c>
      <c r="BM92">
        <v>0</v>
      </c>
      <c r="BN92">
        <v>0</v>
      </c>
      <c r="BO92" t="s">
        <v>3</v>
      </c>
      <c r="BP92">
        <v>0</v>
      </c>
      <c r="BQ92">
        <v>1</v>
      </c>
      <c r="BR92">
        <v>0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 t="s">
        <v>3</v>
      </c>
      <c r="BZ92">
        <v>70</v>
      </c>
      <c r="CA92">
        <v>10</v>
      </c>
      <c r="CE92">
        <v>0</v>
      </c>
      <c r="CF92">
        <v>0</v>
      </c>
      <c r="CG92">
        <v>0</v>
      </c>
      <c r="CM92">
        <v>0</v>
      </c>
      <c r="CN92" t="s">
        <v>3</v>
      </c>
      <c r="CO92">
        <v>0</v>
      </c>
      <c r="CP92">
        <f t="shared" si="63"/>
        <v>60405.520000000004</v>
      </c>
      <c r="CQ92">
        <f t="shared" si="64"/>
        <v>40923.85</v>
      </c>
      <c r="CR92">
        <f t="shared" si="65"/>
        <v>31.83</v>
      </c>
      <c r="CS92">
        <f t="shared" si="66"/>
        <v>3.42</v>
      </c>
      <c r="CT92">
        <f t="shared" si="67"/>
        <v>9382.25</v>
      </c>
      <c r="CU92">
        <f t="shared" si="68"/>
        <v>0</v>
      </c>
      <c r="CV92">
        <f t="shared" si="69"/>
        <v>36.46</v>
      </c>
      <c r="CW92">
        <f t="shared" si="70"/>
        <v>0</v>
      </c>
      <c r="CX92">
        <f t="shared" si="71"/>
        <v>0</v>
      </c>
      <c r="CY92">
        <f t="shared" si="72"/>
        <v>7881.09</v>
      </c>
      <c r="CZ92">
        <f t="shared" si="73"/>
        <v>1125.8699999999999</v>
      </c>
      <c r="DC92" t="s">
        <v>3</v>
      </c>
      <c r="DD92" t="s">
        <v>3</v>
      </c>
      <c r="DE92" t="s">
        <v>3</v>
      </c>
      <c r="DF92" t="s">
        <v>3</v>
      </c>
      <c r="DG92" t="s">
        <v>3</v>
      </c>
      <c r="DH92" t="s">
        <v>3</v>
      </c>
      <c r="DI92" t="s">
        <v>3</v>
      </c>
      <c r="DJ92" t="s">
        <v>3</v>
      </c>
      <c r="DK92" t="s">
        <v>3</v>
      </c>
      <c r="DL92" t="s">
        <v>3</v>
      </c>
      <c r="DM92" t="s">
        <v>3</v>
      </c>
      <c r="DN92">
        <v>0</v>
      </c>
      <c r="DO92">
        <v>0</v>
      </c>
      <c r="DP92">
        <v>1</v>
      </c>
      <c r="DQ92">
        <v>1</v>
      </c>
      <c r="DU92">
        <v>1005</v>
      </c>
      <c r="DV92" t="s">
        <v>19</v>
      </c>
      <c r="DW92" t="s">
        <v>19</v>
      </c>
      <c r="DX92">
        <v>100</v>
      </c>
      <c r="EE92">
        <v>38447819</v>
      </c>
      <c r="EF92">
        <v>1</v>
      </c>
      <c r="EG92" t="s">
        <v>23</v>
      </c>
      <c r="EH92">
        <v>0</v>
      </c>
      <c r="EI92" t="s">
        <v>3</v>
      </c>
      <c r="EJ92">
        <v>4</v>
      </c>
      <c r="EK92">
        <v>0</v>
      </c>
      <c r="EL92" t="s">
        <v>24</v>
      </c>
      <c r="EM92" t="s">
        <v>25</v>
      </c>
      <c r="EO92" t="s">
        <v>3</v>
      </c>
      <c r="EQ92">
        <v>0</v>
      </c>
      <c r="ER92">
        <v>50337.93</v>
      </c>
      <c r="ES92">
        <v>40923.85</v>
      </c>
      <c r="ET92">
        <v>31.83</v>
      </c>
      <c r="EU92">
        <v>3.42</v>
      </c>
      <c r="EV92">
        <v>9382.25</v>
      </c>
      <c r="EW92">
        <v>36.46</v>
      </c>
      <c r="EX92">
        <v>0</v>
      </c>
      <c r="EY92">
        <v>0</v>
      </c>
      <c r="FQ92">
        <v>0</v>
      </c>
      <c r="FR92">
        <f t="shared" si="74"/>
        <v>0</v>
      </c>
      <c r="FS92">
        <v>0</v>
      </c>
      <c r="FX92">
        <v>70</v>
      </c>
      <c r="FY92">
        <v>10</v>
      </c>
      <c r="GA92" t="s">
        <v>3</v>
      </c>
      <c r="GD92">
        <v>0</v>
      </c>
      <c r="GF92">
        <v>-1650701133</v>
      </c>
      <c r="GG92">
        <v>2</v>
      </c>
      <c r="GH92">
        <v>1</v>
      </c>
      <c r="GI92">
        <v>-2</v>
      </c>
      <c r="GJ92">
        <v>0</v>
      </c>
      <c r="GK92">
        <f>ROUND(R92*(R12)/100,2)</f>
        <v>4.43</v>
      </c>
      <c r="GL92">
        <f t="shared" si="75"/>
        <v>0</v>
      </c>
      <c r="GM92">
        <f t="shared" si="76"/>
        <v>69416.91</v>
      </c>
      <c r="GN92">
        <f t="shared" si="77"/>
        <v>0</v>
      </c>
      <c r="GO92">
        <f t="shared" si="78"/>
        <v>0</v>
      </c>
      <c r="GP92">
        <f t="shared" si="79"/>
        <v>69416.91</v>
      </c>
      <c r="GR92">
        <v>0</v>
      </c>
      <c r="GS92">
        <v>3</v>
      </c>
      <c r="GT92">
        <v>0</v>
      </c>
      <c r="GU92" t="s">
        <v>3</v>
      </c>
      <c r="GV92">
        <f t="shared" si="80"/>
        <v>0</v>
      </c>
      <c r="GW92">
        <v>1</v>
      </c>
      <c r="GX92">
        <f t="shared" si="81"/>
        <v>0</v>
      </c>
      <c r="HA92">
        <v>0</v>
      </c>
      <c r="HB92">
        <v>0</v>
      </c>
      <c r="HC92">
        <f t="shared" si="82"/>
        <v>0</v>
      </c>
      <c r="HE92" t="s">
        <v>3</v>
      </c>
      <c r="HF92" t="s">
        <v>3</v>
      </c>
      <c r="IK92">
        <v>0</v>
      </c>
    </row>
    <row r="94" spans="1:245" x14ac:dyDescent="0.2">
      <c r="A94" s="2">
        <v>51</v>
      </c>
      <c r="B94" s="2">
        <f>B70</f>
        <v>1</v>
      </c>
      <c r="C94" s="2">
        <f>A70</f>
        <v>5</v>
      </c>
      <c r="D94" s="2">
        <f>ROW(A70)</f>
        <v>70</v>
      </c>
      <c r="E94" s="2"/>
      <c r="F94" s="2" t="str">
        <f>IF(F70&lt;&gt;"",F70,"")</f>
        <v>Новый подраздел</v>
      </c>
      <c r="G94" s="2" t="str">
        <f>IF(G70&lt;&gt;"",G70,"")</f>
        <v>Строительные работы</v>
      </c>
      <c r="H94" s="2">
        <v>0</v>
      </c>
      <c r="I94" s="2"/>
      <c r="J94" s="2"/>
      <c r="K94" s="2"/>
      <c r="L94" s="2"/>
      <c r="M94" s="2"/>
      <c r="N94" s="2"/>
      <c r="O94" s="2">
        <f t="shared" ref="O94:T94" si="83">ROUND(AB94,2)</f>
        <v>670992.76</v>
      </c>
      <c r="P94" s="2">
        <f t="shared" si="83"/>
        <v>455289.22</v>
      </c>
      <c r="Q94" s="2">
        <f t="shared" si="83"/>
        <v>31529.07</v>
      </c>
      <c r="R94" s="2">
        <f t="shared" si="83"/>
        <v>17218.05</v>
      </c>
      <c r="S94" s="2">
        <f t="shared" si="83"/>
        <v>184174.47</v>
      </c>
      <c r="T94" s="2">
        <f t="shared" si="83"/>
        <v>0</v>
      </c>
      <c r="U94" s="2">
        <f>AH94</f>
        <v>788.52582259999997</v>
      </c>
      <c r="V94" s="2">
        <f>AI94</f>
        <v>0</v>
      </c>
      <c r="W94" s="2">
        <f>ROUND(AJ94,2)</f>
        <v>0</v>
      </c>
      <c r="X94" s="2">
        <f>ROUND(AK94,2)</f>
        <v>128922.11</v>
      </c>
      <c r="Y94" s="2">
        <f>ROUND(AL94,2)</f>
        <v>18417.46</v>
      </c>
      <c r="Z94" s="2"/>
      <c r="AA94" s="2"/>
      <c r="AB94" s="2">
        <f>ROUND(SUMIF(AA74:AA92,"=38799519",O74:O92),2)</f>
        <v>670992.76</v>
      </c>
      <c r="AC94" s="2">
        <f>ROUND(SUMIF(AA74:AA92,"=38799519",P74:P92),2)</f>
        <v>455289.22</v>
      </c>
      <c r="AD94" s="2">
        <f>ROUND(SUMIF(AA74:AA92,"=38799519",Q74:Q92),2)</f>
        <v>31529.07</v>
      </c>
      <c r="AE94" s="2">
        <f>ROUND(SUMIF(AA74:AA92,"=38799519",R74:R92),2)</f>
        <v>17218.05</v>
      </c>
      <c r="AF94" s="2">
        <f>ROUND(SUMIF(AA74:AA92,"=38799519",S74:S92),2)</f>
        <v>184174.47</v>
      </c>
      <c r="AG94" s="2">
        <f>ROUND(SUMIF(AA74:AA92,"=38799519",T74:T92),2)</f>
        <v>0</v>
      </c>
      <c r="AH94" s="2">
        <f>SUMIF(AA74:AA92,"=38799519",U74:U92)</f>
        <v>788.52582259999997</v>
      </c>
      <c r="AI94" s="2">
        <f>SUMIF(AA74:AA92,"=38799519",V74:V92)</f>
        <v>0</v>
      </c>
      <c r="AJ94" s="2">
        <f>ROUND(SUMIF(AA74:AA92,"=38799519",W74:W92),2)</f>
        <v>0</v>
      </c>
      <c r="AK94" s="2">
        <f>ROUND(SUMIF(AA74:AA92,"=38799519",X74:X92),2)</f>
        <v>128922.11</v>
      </c>
      <c r="AL94" s="2">
        <f>ROUND(SUMIF(AA74:AA92,"=38799519",Y74:Y92),2)</f>
        <v>18417.46</v>
      </c>
      <c r="AM94" s="2"/>
      <c r="AN94" s="2"/>
      <c r="AO94" s="2">
        <f t="shared" ref="AO94:BD94" si="84">ROUND(BX94,2)</f>
        <v>0</v>
      </c>
      <c r="AP94" s="2">
        <f t="shared" si="84"/>
        <v>0</v>
      </c>
      <c r="AQ94" s="2">
        <f t="shared" si="84"/>
        <v>0</v>
      </c>
      <c r="AR94" s="2">
        <f t="shared" si="84"/>
        <v>836927.81</v>
      </c>
      <c r="AS94" s="2">
        <f t="shared" si="84"/>
        <v>0</v>
      </c>
      <c r="AT94" s="2">
        <f t="shared" si="84"/>
        <v>0</v>
      </c>
      <c r="AU94" s="2">
        <f t="shared" si="84"/>
        <v>836927.81</v>
      </c>
      <c r="AV94" s="2">
        <f t="shared" si="84"/>
        <v>455289.22</v>
      </c>
      <c r="AW94" s="2">
        <f t="shared" si="84"/>
        <v>455289.22</v>
      </c>
      <c r="AX94" s="2">
        <f t="shared" si="84"/>
        <v>0</v>
      </c>
      <c r="AY94" s="2">
        <f t="shared" si="84"/>
        <v>455289.22</v>
      </c>
      <c r="AZ94" s="2">
        <f t="shared" si="84"/>
        <v>0</v>
      </c>
      <c r="BA94" s="2">
        <f t="shared" si="84"/>
        <v>0</v>
      </c>
      <c r="BB94" s="2">
        <f t="shared" si="84"/>
        <v>0</v>
      </c>
      <c r="BC94" s="2">
        <f t="shared" si="84"/>
        <v>0</v>
      </c>
      <c r="BD94" s="2">
        <f t="shared" si="84"/>
        <v>0</v>
      </c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>
        <f>ROUND(SUMIF(AA74:AA92,"=38799519",FQ74:FQ92),2)</f>
        <v>0</v>
      </c>
      <c r="BY94" s="2">
        <f>ROUND(SUMIF(AA74:AA92,"=38799519",FR74:FR92),2)</f>
        <v>0</v>
      </c>
      <c r="BZ94" s="2">
        <f>ROUND(SUMIF(AA74:AA92,"=38799519",GL74:GL92),2)</f>
        <v>0</v>
      </c>
      <c r="CA94" s="2">
        <f>ROUND(SUMIF(AA74:AA92,"=38799519",GM74:GM92),2)</f>
        <v>836927.81</v>
      </c>
      <c r="CB94" s="2">
        <f>ROUND(SUMIF(AA74:AA92,"=38799519",GN74:GN92),2)</f>
        <v>0</v>
      </c>
      <c r="CC94" s="2">
        <f>ROUND(SUMIF(AA74:AA92,"=38799519",GO74:GO92),2)</f>
        <v>0</v>
      </c>
      <c r="CD94" s="2">
        <f>ROUND(SUMIF(AA74:AA92,"=38799519",GP74:GP92),2)</f>
        <v>836927.81</v>
      </c>
      <c r="CE94" s="2">
        <f>AC94-BX94</f>
        <v>455289.22</v>
      </c>
      <c r="CF94" s="2">
        <f>AC94-BY94</f>
        <v>455289.22</v>
      </c>
      <c r="CG94" s="2">
        <f>BX94-BZ94</f>
        <v>0</v>
      </c>
      <c r="CH94" s="2">
        <f>AC94-BX94-BY94+BZ94</f>
        <v>455289.22</v>
      </c>
      <c r="CI94" s="2">
        <f>BY94-BZ94</f>
        <v>0</v>
      </c>
      <c r="CJ94" s="2">
        <f>ROUND(SUMIF(AA74:AA92,"=38799519",GX74:GX92),2)</f>
        <v>0</v>
      </c>
      <c r="CK94" s="2">
        <f>ROUND(SUMIF(AA74:AA92,"=38799519",GY74:GY92),2)</f>
        <v>0</v>
      </c>
      <c r="CL94" s="2">
        <f>ROUND(SUMIF(AA74:AA92,"=38799519",GZ74:GZ92),2)</f>
        <v>0</v>
      </c>
      <c r="CM94" s="2">
        <f>ROUND(SUMIF(AA74:AA92,"=38799519",HD74:HD92),2)</f>
        <v>0</v>
      </c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>
        <v>0</v>
      </c>
    </row>
    <row r="96" spans="1:245" x14ac:dyDescent="0.2">
      <c r="A96" s="4">
        <v>50</v>
      </c>
      <c r="B96" s="4">
        <v>0</v>
      </c>
      <c r="C96" s="4">
        <v>0</v>
      </c>
      <c r="D96" s="4">
        <v>1</v>
      </c>
      <c r="E96" s="4">
        <v>201</v>
      </c>
      <c r="F96" s="4">
        <f>ROUND(Source!O94,O96)</f>
        <v>670992.76</v>
      </c>
      <c r="G96" s="4" t="s">
        <v>50</v>
      </c>
      <c r="H96" s="4" t="s">
        <v>51</v>
      </c>
      <c r="I96" s="4"/>
      <c r="J96" s="4"/>
      <c r="K96" s="4">
        <v>201</v>
      </c>
      <c r="L96" s="4">
        <v>1</v>
      </c>
      <c r="M96" s="4">
        <v>3</v>
      </c>
      <c r="N96" s="4" t="s">
        <v>3</v>
      </c>
      <c r="O96" s="4">
        <v>2</v>
      </c>
      <c r="P96" s="4"/>
      <c r="Q96" s="4"/>
      <c r="R96" s="4"/>
      <c r="S96" s="4"/>
      <c r="T96" s="4"/>
      <c r="U96" s="4"/>
      <c r="V96" s="4"/>
      <c r="W96" s="4"/>
    </row>
    <row r="97" spans="1:23" x14ac:dyDescent="0.2">
      <c r="A97" s="4">
        <v>50</v>
      </c>
      <c r="B97" s="4">
        <v>0</v>
      </c>
      <c r="C97" s="4">
        <v>0</v>
      </c>
      <c r="D97" s="4">
        <v>1</v>
      </c>
      <c r="E97" s="4">
        <v>202</v>
      </c>
      <c r="F97" s="4">
        <f>ROUND(Source!P94,O97)</f>
        <v>455289.22</v>
      </c>
      <c r="G97" s="4" t="s">
        <v>52</v>
      </c>
      <c r="H97" s="4" t="s">
        <v>53</v>
      </c>
      <c r="I97" s="4"/>
      <c r="J97" s="4"/>
      <c r="K97" s="4">
        <v>202</v>
      </c>
      <c r="L97" s="4">
        <v>2</v>
      </c>
      <c r="M97" s="4">
        <v>3</v>
      </c>
      <c r="N97" s="4" t="s">
        <v>3</v>
      </c>
      <c r="O97" s="4">
        <v>2</v>
      </c>
      <c r="P97" s="4"/>
      <c r="Q97" s="4"/>
      <c r="R97" s="4"/>
      <c r="S97" s="4"/>
      <c r="T97" s="4"/>
      <c r="U97" s="4"/>
      <c r="V97" s="4"/>
      <c r="W97" s="4"/>
    </row>
    <row r="98" spans="1:23" x14ac:dyDescent="0.2">
      <c r="A98" s="4">
        <v>50</v>
      </c>
      <c r="B98" s="4">
        <v>0</v>
      </c>
      <c r="C98" s="4">
        <v>0</v>
      </c>
      <c r="D98" s="4">
        <v>1</v>
      </c>
      <c r="E98" s="4">
        <v>222</v>
      </c>
      <c r="F98" s="4">
        <f>ROUND(Source!AO94,O98)</f>
        <v>0</v>
      </c>
      <c r="G98" s="4" t="s">
        <v>54</v>
      </c>
      <c r="H98" s="4" t="s">
        <v>55</v>
      </c>
      <c r="I98" s="4"/>
      <c r="J98" s="4"/>
      <c r="K98" s="4">
        <v>222</v>
      </c>
      <c r="L98" s="4">
        <v>3</v>
      </c>
      <c r="M98" s="4">
        <v>3</v>
      </c>
      <c r="N98" s="4" t="s">
        <v>3</v>
      </c>
      <c r="O98" s="4">
        <v>2</v>
      </c>
      <c r="P98" s="4"/>
      <c r="Q98" s="4"/>
      <c r="R98" s="4"/>
      <c r="S98" s="4"/>
      <c r="T98" s="4"/>
      <c r="U98" s="4"/>
      <c r="V98" s="4"/>
      <c r="W98" s="4"/>
    </row>
    <row r="99" spans="1:23" x14ac:dyDescent="0.2">
      <c r="A99" s="4">
        <v>50</v>
      </c>
      <c r="B99" s="4">
        <v>0</v>
      </c>
      <c r="C99" s="4">
        <v>0</v>
      </c>
      <c r="D99" s="4">
        <v>1</v>
      </c>
      <c r="E99" s="4">
        <v>225</v>
      </c>
      <c r="F99" s="4">
        <f>ROUND(Source!AV94,O99)</f>
        <v>455289.22</v>
      </c>
      <c r="G99" s="4" t="s">
        <v>56</v>
      </c>
      <c r="H99" s="4" t="s">
        <v>57</v>
      </c>
      <c r="I99" s="4"/>
      <c r="J99" s="4"/>
      <c r="K99" s="4">
        <v>225</v>
      </c>
      <c r="L99" s="4">
        <v>4</v>
      </c>
      <c r="M99" s="4">
        <v>3</v>
      </c>
      <c r="N99" s="4" t="s">
        <v>3</v>
      </c>
      <c r="O99" s="4">
        <v>2</v>
      </c>
      <c r="P99" s="4"/>
      <c r="Q99" s="4"/>
      <c r="R99" s="4"/>
      <c r="S99" s="4"/>
      <c r="T99" s="4"/>
      <c r="U99" s="4"/>
      <c r="V99" s="4"/>
      <c r="W99" s="4"/>
    </row>
    <row r="100" spans="1:23" x14ac:dyDescent="0.2">
      <c r="A100" s="4">
        <v>50</v>
      </c>
      <c r="B100" s="4">
        <v>0</v>
      </c>
      <c r="C100" s="4">
        <v>0</v>
      </c>
      <c r="D100" s="4">
        <v>1</v>
      </c>
      <c r="E100" s="4">
        <v>226</v>
      </c>
      <c r="F100" s="4">
        <f>ROUND(Source!AW94,O100)</f>
        <v>455289.22</v>
      </c>
      <c r="G100" s="4" t="s">
        <v>58</v>
      </c>
      <c r="H100" s="4" t="s">
        <v>59</v>
      </c>
      <c r="I100" s="4"/>
      <c r="J100" s="4"/>
      <c r="K100" s="4">
        <v>226</v>
      </c>
      <c r="L100" s="4">
        <v>5</v>
      </c>
      <c r="M100" s="4">
        <v>3</v>
      </c>
      <c r="N100" s="4" t="s">
        <v>3</v>
      </c>
      <c r="O100" s="4">
        <v>2</v>
      </c>
      <c r="P100" s="4"/>
      <c r="Q100" s="4"/>
      <c r="R100" s="4"/>
      <c r="S100" s="4"/>
      <c r="T100" s="4"/>
      <c r="U100" s="4"/>
      <c r="V100" s="4"/>
      <c r="W100" s="4"/>
    </row>
    <row r="101" spans="1:23" x14ac:dyDescent="0.2">
      <c r="A101" s="4">
        <v>50</v>
      </c>
      <c r="B101" s="4">
        <v>0</v>
      </c>
      <c r="C101" s="4">
        <v>0</v>
      </c>
      <c r="D101" s="4">
        <v>1</v>
      </c>
      <c r="E101" s="4">
        <v>227</v>
      </c>
      <c r="F101" s="4">
        <f>ROUND(Source!AX94,O101)</f>
        <v>0</v>
      </c>
      <c r="G101" s="4" t="s">
        <v>60</v>
      </c>
      <c r="H101" s="4" t="s">
        <v>61</v>
      </c>
      <c r="I101" s="4"/>
      <c r="J101" s="4"/>
      <c r="K101" s="4">
        <v>227</v>
      </c>
      <c r="L101" s="4">
        <v>6</v>
      </c>
      <c r="M101" s="4">
        <v>3</v>
      </c>
      <c r="N101" s="4" t="s">
        <v>3</v>
      </c>
      <c r="O101" s="4">
        <v>2</v>
      </c>
      <c r="P101" s="4"/>
      <c r="Q101" s="4"/>
      <c r="R101" s="4"/>
      <c r="S101" s="4"/>
      <c r="T101" s="4"/>
      <c r="U101" s="4"/>
      <c r="V101" s="4"/>
      <c r="W101" s="4"/>
    </row>
    <row r="102" spans="1:23" x14ac:dyDescent="0.2">
      <c r="A102" s="4">
        <v>50</v>
      </c>
      <c r="B102" s="4">
        <v>0</v>
      </c>
      <c r="C102" s="4">
        <v>0</v>
      </c>
      <c r="D102" s="4">
        <v>1</v>
      </c>
      <c r="E102" s="4">
        <v>228</v>
      </c>
      <c r="F102" s="4">
        <f>ROUND(Source!AY94,O102)</f>
        <v>455289.22</v>
      </c>
      <c r="G102" s="4" t="s">
        <v>62</v>
      </c>
      <c r="H102" s="4" t="s">
        <v>63</v>
      </c>
      <c r="I102" s="4"/>
      <c r="J102" s="4"/>
      <c r="K102" s="4">
        <v>228</v>
      </c>
      <c r="L102" s="4">
        <v>7</v>
      </c>
      <c r="M102" s="4">
        <v>3</v>
      </c>
      <c r="N102" s="4" t="s">
        <v>3</v>
      </c>
      <c r="O102" s="4">
        <v>2</v>
      </c>
      <c r="P102" s="4"/>
      <c r="Q102" s="4"/>
      <c r="R102" s="4"/>
      <c r="S102" s="4"/>
      <c r="T102" s="4"/>
      <c r="U102" s="4"/>
      <c r="V102" s="4"/>
      <c r="W102" s="4"/>
    </row>
    <row r="103" spans="1:23" x14ac:dyDescent="0.2">
      <c r="A103" s="4">
        <v>50</v>
      </c>
      <c r="B103" s="4">
        <v>0</v>
      </c>
      <c r="C103" s="4">
        <v>0</v>
      </c>
      <c r="D103" s="4">
        <v>1</v>
      </c>
      <c r="E103" s="4">
        <v>216</v>
      </c>
      <c r="F103" s="4">
        <f>ROUND(Source!AP94,O103)</f>
        <v>0</v>
      </c>
      <c r="G103" s="4" t="s">
        <v>64</v>
      </c>
      <c r="H103" s="4" t="s">
        <v>65</v>
      </c>
      <c r="I103" s="4"/>
      <c r="J103" s="4"/>
      <c r="K103" s="4">
        <v>216</v>
      </c>
      <c r="L103" s="4">
        <v>8</v>
      </c>
      <c r="M103" s="4">
        <v>3</v>
      </c>
      <c r="N103" s="4" t="s">
        <v>3</v>
      </c>
      <c r="O103" s="4">
        <v>2</v>
      </c>
      <c r="P103" s="4"/>
      <c r="Q103" s="4"/>
      <c r="R103" s="4"/>
      <c r="S103" s="4"/>
      <c r="T103" s="4"/>
      <c r="U103" s="4"/>
      <c r="V103" s="4"/>
      <c r="W103" s="4"/>
    </row>
    <row r="104" spans="1:23" x14ac:dyDescent="0.2">
      <c r="A104" s="4">
        <v>50</v>
      </c>
      <c r="B104" s="4">
        <v>0</v>
      </c>
      <c r="C104" s="4">
        <v>0</v>
      </c>
      <c r="D104" s="4">
        <v>1</v>
      </c>
      <c r="E104" s="4">
        <v>223</v>
      </c>
      <c r="F104" s="4">
        <f>ROUND(Source!AQ94,O104)</f>
        <v>0</v>
      </c>
      <c r="G104" s="4" t="s">
        <v>66</v>
      </c>
      <c r="H104" s="4" t="s">
        <v>67</v>
      </c>
      <c r="I104" s="4"/>
      <c r="J104" s="4"/>
      <c r="K104" s="4">
        <v>223</v>
      </c>
      <c r="L104" s="4">
        <v>9</v>
      </c>
      <c r="M104" s="4">
        <v>3</v>
      </c>
      <c r="N104" s="4" t="s">
        <v>3</v>
      </c>
      <c r="O104" s="4">
        <v>2</v>
      </c>
      <c r="P104" s="4"/>
      <c r="Q104" s="4"/>
      <c r="R104" s="4"/>
      <c r="S104" s="4"/>
      <c r="T104" s="4"/>
      <c r="U104" s="4"/>
      <c r="V104" s="4"/>
      <c r="W104" s="4"/>
    </row>
    <row r="105" spans="1:23" x14ac:dyDescent="0.2">
      <c r="A105" s="4">
        <v>50</v>
      </c>
      <c r="B105" s="4">
        <v>0</v>
      </c>
      <c r="C105" s="4">
        <v>0</v>
      </c>
      <c r="D105" s="4">
        <v>1</v>
      </c>
      <c r="E105" s="4">
        <v>229</v>
      </c>
      <c r="F105" s="4">
        <f>ROUND(Source!AZ94,O105)</f>
        <v>0</v>
      </c>
      <c r="G105" s="4" t="s">
        <v>68</v>
      </c>
      <c r="H105" s="4" t="s">
        <v>69</v>
      </c>
      <c r="I105" s="4"/>
      <c r="J105" s="4"/>
      <c r="K105" s="4">
        <v>229</v>
      </c>
      <c r="L105" s="4">
        <v>10</v>
      </c>
      <c r="M105" s="4">
        <v>3</v>
      </c>
      <c r="N105" s="4" t="s">
        <v>3</v>
      </c>
      <c r="O105" s="4">
        <v>2</v>
      </c>
      <c r="P105" s="4"/>
      <c r="Q105" s="4"/>
      <c r="R105" s="4"/>
      <c r="S105" s="4"/>
      <c r="T105" s="4"/>
      <c r="U105" s="4"/>
      <c r="V105" s="4"/>
      <c r="W105" s="4"/>
    </row>
    <row r="106" spans="1:23" x14ac:dyDescent="0.2">
      <c r="A106" s="4">
        <v>50</v>
      </c>
      <c r="B106" s="4">
        <v>0</v>
      </c>
      <c r="C106" s="4">
        <v>0</v>
      </c>
      <c r="D106" s="4">
        <v>1</v>
      </c>
      <c r="E106" s="4">
        <v>203</v>
      </c>
      <c r="F106" s="4">
        <f>ROUND(Source!Q94,O106)</f>
        <v>31529.07</v>
      </c>
      <c r="G106" s="4" t="s">
        <v>70</v>
      </c>
      <c r="H106" s="4" t="s">
        <v>71</v>
      </c>
      <c r="I106" s="4"/>
      <c r="J106" s="4"/>
      <c r="K106" s="4">
        <v>203</v>
      </c>
      <c r="L106" s="4">
        <v>11</v>
      </c>
      <c r="M106" s="4">
        <v>3</v>
      </c>
      <c r="N106" s="4" t="s">
        <v>3</v>
      </c>
      <c r="O106" s="4">
        <v>2</v>
      </c>
      <c r="P106" s="4"/>
      <c r="Q106" s="4"/>
      <c r="R106" s="4"/>
      <c r="S106" s="4"/>
      <c r="T106" s="4"/>
      <c r="U106" s="4"/>
      <c r="V106" s="4"/>
      <c r="W106" s="4"/>
    </row>
    <row r="107" spans="1:23" x14ac:dyDescent="0.2">
      <c r="A107" s="4">
        <v>50</v>
      </c>
      <c r="B107" s="4">
        <v>0</v>
      </c>
      <c r="C107" s="4">
        <v>0</v>
      </c>
      <c r="D107" s="4">
        <v>1</v>
      </c>
      <c r="E107" s="4">
        <v>231</v>
      </c>
      <c r="F107" s="4">
        <f>ROUND(Source!BB94,O107)</f>
        <v>0</v>
      </c>
      <c r="G107" s="4" t="s">
        <v>72</v>
      </c>
      <c r="H107" s="4" t="s">
        <v>73</v>
      </c>
      <c r="I107" s="4"/>
      <c r="J107" s="4"/>
      <c r="K107" s="4">
        <v>231</v>
      </c>
      <c r="L107" s="4">
        <v>12</v>
      </c>
      <c r="M107" s="4">
        <v>3</v>
      </c>
      <c r="N107" s="4" t="s">
        <v>3</v>
      </c>
      <c r="O107" s="4">
        <v>2</v>
      </c>
      <c r="P107" s="4"/>
      <c r="Q107" s="4"/>
      <c r="R107" s="4"/>
      <c r="S107" s="4"/>
      <c r="T107" s="4"/>
      <c r="U107" s="4"/>
      <c r="V107" s="4"/>
      <c r="W107" s="4"/>
    </row>
    <row r="108" spans="1:23" x14ac:dyDescent="0.2">
      <c r="A108" s="4">
        <v>50</v>
      </c>
      <c r="B108" s="4">
        <v>0</v>
      </c>
      <c r="C108" s="4">
        <v>0</v>
      </c>
      <c r="D108" s="4">
        <v>1</v>
      </c>
      <c r="E108" s="4">
        <v>204</v>
      </c>
      <c r="F108" s="4">
        <f>ROUND(Source!R94,O108)</f>
        <v>17218.05</v>
      </c>
      <c r="G108" s="4" t="s">
        <v>74</v>
      </c>
      <c r="H108" s="4" t="s">
        <v>75</v>
      </c>
      <c r="I108" s="4"/>
      <c r="J108" s="4"/>
      <c r="K108" s="4">
        <v>204</v>
      </c>
      <c r="L108" s="4">
        <v>13</v>
      </c>
      <c r="M108" s="4">
        <v>3</v>
      </c>
      <c r="N108" s="4" t="s">
        <v>3</v>
      </c>
      <c r="O108" s="4">
        <v>2</v>
      </c>
      <c r="P108" s="4"/>
      <c r="Q108" s="4"/>
      <c r="R108" s="4"/>
      <c r="S108" s="4"/>
      <c r="T108" s="4"/>
      <c r="U108" s="4"/>
      <c r="V108" s="4"/>
      <c r="W108" s="4"/>
    </row>
    <row r="109" spans="1:23" x14ac:dyDescent="0.2">
      <c r="A109" s="4">
        <v>50</v>
      </c>
      <c r="B109" s="4">
        <v>0</v>
      </c>
      <c r="C109" s="4">
        <v>0</v>
      </c>
      <c r="D109" s="4">
        <v>1</v>
      </c>
      <c r="E109" s="4">
        <v>205</v>
      </c>
      <c r="F109" s="4">
        <f>ROUND(Source!S94,O109)</f>
        <v>184174.47</v>
      </c>
      <c r="G109" s="4" t="s">
        <v>76</v>
      </c>
      <c r="H109" s="4" t="s">
        <v>77</v>
      </c>
      <c r="I109" s="4"/>
      <c r="J109" s="4"/>
      <c r="K109" s="4">
        <v>205</v>
      </c>
      <c r="L109" s="4">
        <v>14</v>
      </c>
      <c r="M109" s="4">
        <v>3</v>
      </c>
      <c r="N109" s="4" t="s">
        <v>3</v>
      </c>
      <c r="O109" s="4">
        <v>2</v>
      </c>
      <c r="P109" s="4"/>
      <c r="Q109" s="4"/>
      <c r="R109" s="4"/>
      <c r="S109" s="4"/>
      <c r="T109" s="4"/>
      <c r="U109" s="4"/>
      <c r="V109" s="4"/>
      <c r="W109" s="4"/>
    </row>
    <row r="110" spans="1:23" x14ac:dyDescent="0.2">
      <c r="A110" s="4">
        <v>50</v>
      </c>
      <c r="B110" s="4">
        <v>0</v>
      </c>
      <c r="C110" s="4">
        <v>0</v>
      </c>
      <c r="D110" s="4">
        <v>1</v>
      </c>
      <c r="E110" s="4">
        <v>232</v>
      </c>
      <c r="F110" s="4">
        <f>ROUND(Source!BC94,O110)</f>
        <v>0</v>
      </c>
      <c r="G110" s="4" t="s">
        <v>78</v>
      </c>
      <c r="H110" s="4" t="s">
        <v>79</v>
      </c>
      <c r="I110" s="4"/>
      <c r="J110" s="4"/>
      <c r="K110" s="4">
        <v>232</v>
      </c>
      <c r="L110" s="4">
        <v>15</v>
      </c>
      <c r="M110" s="4">
        <v>3</v>
      </c>
      <c r="N110" s="4" t="s">
        <v>3</v>
      </c>
      <c r="O110" s="4">
        <v>2</v>
      </c>
      <c r="P110" s="4"/>
      <c r="Q110" s="4"/>
      <c r="R110" s="4"/>
      <c r="S110" s="4"/>
      <c r="T110" s="4"/>
      <c r="U110" s="4"/>
      <c r="V110" s="4"/>
      <c r="W110" s="4"/>
    </row>
    <row r="111" spans="1:23" x14ac:dyDescent="0.2">
      <c r="A111" s="4">
        <v>50</v>
      </c>
      <c r="B111" s="4">
        <v>0</v>
      </c>
      <c r="C111" s="4">
        <v>0</v>
      </c>
      <c r="D111" s="4">
        <v>1</v>
      </c>
      <c r="E111" s="4">
        <v>214</v>
      </c>
      <c r="F111" s="4">
        <f>ROUND(Source!AS94,O111)</f>
        <v>0</v>
      </c>
      <c r="G111" s="4" t="s">
        <v>80</v>
      </c>
      <c r="H111" s="4" t="s">
        <v>81</v>
      </c>
      <c r="I111" s="4"/>
      <c r="J111" s="4"/>
      <c r="K111" s="4">
        <v>214</v>
      </c>
      <c r="L111" s="4">
        <v>16</v>
      </c>
      <c r="M111" s="4">
        <v>3</v>
      </c>
      <c r="N111" s="4" t="s">
        <v>3</v>
      </c>
      <c r="O111" s="4">
        <v>2</v>
      </c>
      <c r="P111" s="4"/>
      <c r="Q111" s="4"/>
      <c r="R111" s="4"/>
      <c r="S111" s="4"/>
      <c r="T111" s="4"/>
      <c r="U111" s="4"/>
      <c r="V111" s="4"/>
      <c r="W111" s="4"/>
    </row>
    <row r="112" spans="1:23" x14ac:dyDescent="0.2">
      <c r="A112" s="4">
        <v>50</v>
      </c>
      <c r="B112" s="4">
        <v>0</v>
      </c>
      <c r="C112" s="4">
        <v>0</v>
      </c>
      <c r="D112" s="4">
        <v>1</v>
      </c>
      <c r="E112" s="4">
        <v>215</v>
      </c>
      <c r="F112" s="4">
        <f>ROUND(Source!AT94,O112)</f>
        <v>0</v>
      </c>
      <c r="G112" s="4" t="s">
        <v>82</v>
      </c>
      <c r="H112" s="4" t="s">
        <v>83</v>
      </c>
      <c r="I112" s="4"/>
      <c r="J112" s="4"/>
      <c r="K112" s="4">
        <v>215</v>
      </c>
      <c r="L112" s="4">
        <v>17</v>
      </c>
      <c r="M112" s="4">
        <v>3</v>
      </c>
      <c r="N112" s="4" t="s">
        <v>3</v>
      </c>
      <c r="O112" s="4">
        <v>2</v>
      </c>
      <c r="P112" s="4"/>
      <c r="Q112" s="4"/>
      <c r="R112" s="4"/>
      <c r="S112" s="4"/>
      <c r="T112" s="4"/>
      <c r="U112" s="4"/>
      <c r="V112" s="4"/>
      <c r="W112" s="4"/>
    </row>
    <row r="113" spans="1:206" x14ac:dyDescent="0.2">
      <c r="A113" s="4">
        <v>50</v>
      </c>
      <c r="B113" s="4">
        <v>0</v>
      </c>
      <c r="C113" s="4">
        <v>0</v>
      </c>
      <c r="D113" s="4">
        <v>1</v>
      </c>
      <c r="E113" s="4">
        <v>217</v>
      </c>
      <c r="F113" s="4">
        <f>ROUND(Source!AU94,O113)</f>
        <v>836927.81</v>
      </c>
      <c r="G113" s="4" t="s">
        <v>84</v>
      </c>
      <c r="H113" s="4" t="s">
        <v>85</v>
      </c>
      <c r="I113" s="4"/>
      <c r="J113" s="4"/>
      <c r="K113" s="4">
        <v>217</v>
      </c>
      <c r="L113" s="4">
        <v>18</v>
      </c>
      <c r="M113" s="4">
        <v>3</v>
      </c>
      <c r="N113" s="4" t="s">
        <v>3</v>
      </c>
      <c r="O113" s="4">
        <v>2</v>
      </c>
      <c r="P113" s="4"/>
      <c r="Q113" s="4"/>
      <c r="R113" s="4"/>
      <c r="S113" s="4"/>
      <c r="T113" s="4"/>
      <c r="U113" s="4"/>
      <c r="V113" s="4"/>
      <c r="W113" s="4"/>
    </row>
    <row r="114" spans="1:206" x14ac:dyDescent="0.2">
      <c r="A114" s="4">
        <v>50</v>
      </c>
      <c r="B114" s="4">
        <v>0</v>
      </c>
      <c r="C114" s="4">
        <v>0</v>
      </c>
      <c r="D114" s="4">
        <v>1</v>
      </c>
      <c r="E114" s="4">
        <v>230</v>
      </c>
      <c r="F114" s="4">
        <f>ROUND(Source!BA94,O114)</f>
        <v>0</v>
      </c>
      <c r="G114" s="4" t="s">
        <v>86</v>
      </c>
      <c r="H114" s="4" t="s">
        <v>87</v>
      </c>
      <c r="I114" s="4"/>
      <c r="J114" s="4"/>
      <c r="K114" s="4">
        <v>230</v>
      </c>
      <c r="L114" s="4">
        <v>19</v>
      </c>
      <c r="M114" s="4">
        <v>3</v>
      </c>
      <c r="N114" s="4" t="s">
        <v>3</v>
      </c>
      <c r="O114" s="4">
        <v>2</v>
      </c>
      <c r="P114" s="4"/>
      <c r="Q114" s="4"/>
      <c r="R114" s="4"/>
      <c r="S114" s="4"/>
      <c r="T114" s="4"/>
      <c r="U114" s="4"/>
      <c r="V114" s="4"/>
      <c r="W114" s="4"/>
    </row>
    <row r="115" spans="1:206" x14ac:dyDescent="0.2">
      <c r="A115" s="4">
        <v>50</v>
      </c>
      <c r="B115" s="4">
        <v>0</v>
      </c>
      <c r="C115" s="4">
        <v>0</v>
      </c>
      <c r="D115" s="4">
        <v>1</v>
      </c>
      <c r="E115" s="4">
        <v>206</v>
      </c>
      <c r="F115" s="4">
        <f>ROUND(Source!T94,O115)</f>
        <v>0</v>
      </c>
      <c r="G115" s="4" t="s">
        <v>88</v>
      </c>
      <c r="H115" s="4" t="s">
        <v>89</v>
      </c>
      <c r="I115" s="4"/>
      <c r="J115" s="4"/>
      <c r="K115" s="4">
        <v>206</v>
      </c>
      <c r="L115" s="4">
        <v>20</v>
      </c>
      <c r="M115" s="4">
        <v>3</v>
      </c>
      <c r="N115" s="4" t="s">
        <v>3</v>
      </c>
      <c r="O115" s="4">
        <v>2</v>
      </c>
      <c r="P115" s="4"/>
      <c r="Q115" s="4"/>
      <c r="R115" s="4"/>
      <c r="S115" s="4"/>
      <c r="T115" s="4"/>
      <c r="U115" s="4"/>
      <c r="V115" s="4"/>
      <c r="W115" s="4"/>
    </row>
    <row r="116" spans="1:206" x14ac:dyDescent="0.2">
      <c r="A116" s="4">
        <v>50</v>
      </c>
      <c r="B116" s="4">
        <v>0</v>
      </c>
      <c r="C116" s="4">
        <v>0</v>
      </c>
      <c r="D116" s="4">
        <v>1</v>
      </c>
      <c r="E116" s="4">
        <v>207</v>
      </c>
      <c r="F116" s="4">
        <f>Source!U94</f>
        <v>788.52582259999997</v>
      </c>
      <c r="G116" s="4" t="s">
        <v>90</v>
      </c>
      <c r="H116" s="4" t="s">
        <v>91</v>
      </c>
      <c r="I116" s="4"/>
      <c r="J116" s="4"/>
      <c r="K116" s="4">
        <v>207</v>
      </c>
      <c r="L116" s="4">
        <v>21</v>
      </c>
      <c r="M116" s="4">
        <v>3</v>
      </c>
      <c r="N116" s="4" t="s">
        <v>3</v>
      </c>
      <c r="O116" s="4">
        <v>-1</v>
      </c>
      <c r="P116" s="4"/>
      <c r="Q116" s="4"/>
      <c r="R116" s="4"/>
      <c r="S116" s="4"/>
      <c r="T116" s="4"/>
      <c r="U116" s="4"/>
      <c r="V116" s="4"/>
      <c r="W116" s="4"/>
    </row>
    <row r="117" spans="1:206" x14ac:dyDescent="0.2">
      <c r="A117" s="4">
        <v>50</v>
      </c>
      <c r="B117" s="4">
        <v>0</v>
      </c>
      <c r="C117" s="4">
        <v>0</v>
      </c>
      <c r="D117" s="4">
        <v>1</v>
      </c>
      <c r="E117" s="4">
        <v>208</v>
      </c>
      <c r="F117" s="4">
        <f>Source!V94</f>
        <v>0</v>
      </c>
      <c r="G117" s="4" t="s">
        <v>92</v>
      </c>
      <c r="H117" s="4" t="s">
        <v>93</v>
      </c>
      <c r="I117" s="4"/>
      <c r="J117" s="4"/>
      <c r="K117" s="4">
        <v>208</v>
      </c>
      <c r="L117" s="4">
        <v>22</v>
      </c>
      <c r="M117" s="4">
        <v>3</v>
      </c>
      <c r="N117" s="4" t="s">
        <v>3</v>
      </c>
      <c r="O117" s="4">
        <v>-1</v>
      </c>
      <c r="P117" s="4"/>
      <c r="Q117" s="4"/>
      <c r="R117" s="4"/>
      <c r="S117" s="4"/>
      <c r="T117" s="4"/>
      <c r="U117" s="4"/>
      <c r="V117" s="4"/>
      <c r="W117" s="4"/>
    </row>
    <row r="118" spans="1:206" x14ac:dyDescent="0.2">
      <c r="A118" s="4">
        <v>50</v>
      </c>
      <c r="B118" s="4">
        <v>0</v>
      </c>
      <c r="C118" s="4">
        <v>0</v>
      </c>
      <c r="D118" s="4">
        <v>1</v>
      </c>
      <c r="E118" s="4">
        <v>209</v>
      </c>
      <c r="F118" s="4">
        <f>ROUND(Source!W94,O118)</f>
        <v>0</v>
      </c>
      <c r="G118" s="4" t="s">
        <v>94</v>
      </c>
      <c r="H118" s="4" t="s">
        <v>95</v>
      </c>
      <c r="I118" s="4"/>
      <c r="J118" s="4"/>
      <c r="K118" s="4">
        <v>209</v>
      </c>
      <c r="L118" s="4">
        <v>23</v>
      </c>
      <c r="M118" s="4">
        <v>3</v>
      </c>
      <c r="N118" s="4" t="s">
        <v>3</v>
      </c>
      <c r="O118" s="4">
        <v>2</v>
      </c>
      <c r="P118" s="4"/>
      <c r="Q118" s="4"/>
      <c r="R118" s="4"/>
      <c r="S118" s="4"/>
      <c r="T118" s="4"/>
      <c r="U118" s="4"/>
      <c r="V118" s="4"/>
      <c r="W118" s="4"/>
    </row>
    <row r="119" spans="1:206" x14ac:dyDescent="0.2">
      <c r="A119" s="4">
        <v>50</v>
      </c>
      <c r="B119" s="4">
        <v>0</v>
      </c>
      <c r="C119" s="4">
        <v>0</v>
      </c>
      <c r="D119" s="4">
        <v>1</v>
      </c>
      <c r="E119" s="4">
        <v>233</v>
      </c>
      <c r="F119" s="4">
        <f>ROUND(Source!BD94,O119)</f>
        <v>0</v>
      </c>
      <c r="G119" s="4" t="s">
        <v>96</v>
      </c>
      <c r="H119" s="4" t="s">
        <v>97</v>
      </c>
      <c r="I119" s="4"/>
      <c r="J119" s="4"/>
      <c r="K119" s="4">
        <v>233</v>
      </c>
      <c r="L119" s="4">
        <v>24</v>
      </c>
      <c r="M119" s="4">
        <v>3</v>
      </c>
      <c r="N119" s="4" t="s">
        <v>3</v>
      </c>
      <c r="O119" s="4">
        <v>2</v>
      </c>
      <c r="P119" s="4"/>
      <c r="Q119" s="4"/>
      <c r="R119" s="4"/>
      <c r="S119" s="4"/>
      <c r="T119" s="4"/>
      <c r="U119" s="4"/>
      <c r="V119" s="4"/>
      <c r="W119" s="4"/>
    </row>
    <row r="120" spans="1:206" x14ac:dyDescent="0.2">
      <c r="A120" s="4">
        <v>50</v>
      </c>
      <c r="B120" s="4">
        <v>0</v>
      </c>
      <c r="C120" s="4">
        <v>0</v>
      </c>
      <c r="D120" s="4">
        <v>1</v>
      </c>
      <c r="E120" s="4">
        <v>210</v>
      </c>
      <c r="F120" s="4">
        <f>ROUND(Source!X94,O120)</f>
        <v>128922.11</v>
      </c>
      <c r="G120" s="4" t="s">
        <v>98</v>
      </c>
      <c r="H120" s="4" t="s">
        <v>99</v>
      </c>
      <c r="I120" s="4"/>
      <c r="J120" s="4"/>
      <c r="K120" s="4">
        <v>210</v>
      </c>
      <c r="L120" s="4">
        <v>25</v>
      </c>
      <c r="M120" s="4">
        <v>3</v>
      </c>
      <c r="N120" s="4" t="s">
        <v>3</v>
      </c>
      <c r="O120" s="4">
        <v>2</v>
      </c>
      <c r="P120" s="4"/>
      <c r="Q120" s="4"/>
      <c r="R120" s="4"/>
      <c r="S120" s="4"/>
      <c r="T120" s="4"/>
      <c r="U120" s="4"/>
      <c r="V120" s="4"/>
      <c r="W120" s="4"/>
    </row>
    <row r="121" spans="1:206" x14ac:dyDescent="0.2">
      <c r="A121" s="4">
        <v>50</v>
      </c>
      <c r="B121" s="4">
        <v>0</v>
      </c>
      <c r="C121" s="4">
        <v>0</v>
      </c>
      <c r="D121" s="4">
        <v>1</v>
      </c>
      <c r="E121" s="4">
        <v>211</v>
      </c>
      <c r="F121" s="4">
        <f>ROUND(Source!Y94,O121)</f>
        <v>18417.46</v>
      </c>
      <c r="G121" s="4" t="s">
        <v>100</v>
      </c>
      <c r="H121" s="4" t="s">
        <v>101</v>
      </c>
      <c r="I121" s="4"/>
      <c r="J121" s="4"/>
      <c r="K121" s="4">
        <v>211</v>
      </c>
      <c r="L121" s="4">
        <v>26</v>
      </c>
      <c r="M121" s="4">
        <v>3</v>
      </c>
      <c r="N121" s="4" t="s">
        <v>3</v>
      </c>
      <c r="O121" s="4">
        <v>2</v>
      </c>
      <c r="P121" s="4"/>
      <c r="Q121" s="4"/>
      <c r="R121" s="4"/>
      <c r="S121" s="4"/>
      <c r="T121" s="4"/>
      <c r="U121" s="4"/>
      <c r="V121" s="4"/>
      <c r="W121" s="4"/>
    </row>
    <row r="122" spans="1:206" x14ac:dyDescent="0.2">
      <c r="A122" s="4">
        <v>50</v>
      </c>
      <c r="B122" s="4">
        <v>0</v>
      </c>
      <c r="C122" s="4">
        <v>0</v>
      </c>
      <c r="D122" s="4">
        <v>1</v>
      </c>
      <c r="E122" s="4">
        <v>224</v>
      </c>
      <c r="F122" s="4">
        <f>ROUND(Source!AR94,O122)</f>
        <v>836927.81</v>
      </c>
      <c r="G122" s="4" t="s">
        <v>102</v>
      </c>
      <c r="H122" s="4" t="s">
        <v>103</v>
      </c>
      <c r="I122" s="4"/>
      <c r="J122" s="4"/>
      <c r="K122" s="4">
        <v>224</v>
      </c>
      <c r="L122" s="4">
        <v>27</v>
      </c>
      <c r="M122" s="4">
        <v>3</v>
      </c>
      <c r="N122" s="4" t="s">
        <v>3</v>
      </c>
      <c r="O122" s="4">
        <v>2</v>
      </c>
      <c r="P122" s="4"/>
      <c r="Q122" s="4"/>
      <c r="R122" s="4"/>
      <c r="S122" s="4"/>
      <c r="T122" s="4"/>
      <c r="U122" s="4"/>
      <c r="V122" s="4"/>
      <c r="W122" s="4"/>
    </row>
    <row r="124" spans="1:206" x14ac:dyDescent="0.2">
      <c r="A124" s="2">
        <v>51</v>
      </c>
      <c r="B124" s="2">
        <f>B24</f>
        <v>1</v>
      </c>
      <c r="C124" s="2">
        <f>A24</f>
        <v>4</v>
      </c>
      <c r="D124" s="2">
        <f>ROW(A24)</f>
        <v>24</v>
      </c>
      <c r="E124" s="2"/>
      <c r="F124" s="2" t="str">
        <f>IF(F24&lt;&gt;"",F24,"")</f>
        <v>Новый раздел</v>
      </c>
      <c r="G124" s="2" t="str">
        <f>IF(G24&lt;&gt;"",G24,"")</f>
        <v>Веранды</v>
      </c>
      <c r="H124" s="2">
        <v>0</v>
      </c>
      <c r="I124" s="2"/>
      <c r="J124" s="2"/>
      <c r="K124" s="2"/>
      <c r="L124" s="2"/>
      <c r="M124" s="2"/>
      <c r="N124" s="2"/>
      <c r="O124" s="2">
        <f t="shared" ref="O124:T124" si="85">ROUND(O40+O94+AB124,2)</f>
        <v>824378.13</v>
      </c>
      <c r="P124" s="2">
        <f t="shared" si="85"/>
        <v>455289.22</v>
      </c>
      <c r="Q124" s="2">
        <f t="shared" si="85"/>
        <v>134566.48000000001</v>
      </c>
      <c r="R124" s="2">
        <f t="shared" si="85"/>
        <v>75336.649999999994</v>
      </c>
      <c r="S124" s="2">
        <f t="shared" si="85"/>
        <v>234522.43</v>
      </c>
      <c r="T124" s="2">
        <f t="shared" si="85"/>
        <v>0</v>
      </c>
      <c r="U124" s="2">
        <f>U40+U94+AH124</f>
        <v>1034.3059625999999</v>
      </c>
      <c r="V124" s="2">
        <f>V40+V94+AI124</f>
        <v>0</v>
      </c>
      <c r="W124" s="2">
        <f>ROUND(W40+W94+AJ124,2)</f>
        <v>0</v>
      </c>
      <c r="X124" s="2">
        <f>ROUND(X40+X94+AK124,2)</f>
        <v>164165.69</v>
      </c>
      <c r="Y124" s="2">
        <f>ROUND(Y40+Y94+AL124,2)</f>
        <v>23452.26</v>
      </c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>
        <f t="shared" ref="AO124:BD124" si="86">ROUND(AO40+AO94+BX124,2)</f>
        <v>0</v>
      </c>
      <c r="AP124" s="2">
        <f t="shared" si="86"/>
        <v>0</v>
      </c>
      <c r="AQ124" s="2">
        <f t="shared" si="86"/>
        <v>0</v>
      </c>
      <c r="AR124" s="2">
        <f t="shared" si="86"/>
        <v>1093359.6499999999</v>
      </c>
      <c r="AS124" s="2">
        <f t="shared" si="86"/>
        <v>0</v>
      </c>
      <c r="AT124" s="2">
        <f t="shared" si="86"/>
        <v>0</v>
      </c>
      <c r="AU124" s="2">
        <f t="shared" si="86"/>
        <v>1093359.6499999999</v>
      </c>
      <c r="AV124" s="2">
        <f t="shared" si="86"/>
        <v>455289.22</v>
      </c>
      <c r="AW124" s="2">
        <f t="shared" si="86"/>
        <v>455289.22</v>
      </c>
      <c r="AX124" s="2">
        <f t="shared" si="86"/>
        <v>0</v>
      </c>
      <c r="AY124" s="2">
        <f t="shared" si="86"/>
        <v>455289.22</v>
      </c>
      <c r="AZ124" s="2">
        <f t="shared" si="86"/>
        <v>0</v>
      </c>
      <c r="BA124" s="2">
        <f t="shared" si="86"/>
        <v>0</v>
      </c>
      <c r="BB124" s="2">
        <f t="shared" si="86"/>
        <v>0</v>
      </c>
      <c r="BC124" s="2">
        <f t="shared" si="86"/>
        <v>0</v>
      </c>
      <c r="BD124" s="2">
        <f t="shared" si="86"/>
        <v>0</v>
      </c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>
        <v>0</v>
      </c>
    </row>
    <row r="126" spans="1:206" x14ac:dyDescent="0.2">
      <c r="A126" s="4">
        <v>50</v>
      </c>
      <c r="B126" s="4">
        <v>0</v>
      </c>
      <c r="C126" s="4">
        <v>0</v>
      </c>
      <c r="D126" s="4">
        <v>1</v>
      </c>
      <c r="E126" s="4">
        <v>201</v>
      </c>
      <c r="F126" s="4">
        <f>ROUND(Source!O124,O126)</f>
        <v>824378.13</v>
      </c>
      <c r="G126" s="4" t="s">
        <v>50</v>
      </c>
      <c r="H126" s="4" t="s">
        <v>51</v>
      </c>
      <c r="I126" s="4"/>
      <c r="J126" s="4"/>
      <c r="K126" s="4">
        <v>201</v>
      </c>
      <c r="L126" s="4">
        <v>1</v>
      </c>
      <c r="M126" s="4">
        <v>3</v>
      </c>
      <c r="N126" s="4" t="s">
        <v>3</v>
      </c>
      <c r="O126" s="4">
        <v>2</v>
      </c>
      <c r="P126" s="4"/>
      <c r="Q126" s="4"/>
      <c r="R126" s="4"/>
      <c r="S126" s="4"/>
      <c r="T126" s="4"/>
      <c r="U126" s="4"/>
      <c r="V126" s="4"/>
      <c r="W126" s="4"/>
    </row>
    <row r="127" spans="1:206" x14ac:dyDescent="0.2">
      <c r="A127" s="4">
        <v>50</v>
      </c>
      <c r="B127" s="4">
        <v>0</v>
      </c>
      <c r="C127" s="4">
        <v>0</v>
      </c>
      <c r="D127" s="4">
        <v>1</v>
      </c>
      <c r="E127" s="4">
        <v>202</v>
      </c>
      <c r="F127" s="4">
        <f>ROUND(Source!P124,O127)</f>
        <v>455289.22</v>
      </c>
      <c r="G127" s="4" t="s">
        <v>52</v>
      </c>
      <c r="H127" s="4" t="s">
        <v>53</v>
      </c>
      <c r="I127" s="4"/>
      <c r="J127" s="4"/>
      <c r="K127" s="4">
        <v>202</v>
      </c>
      <c r="L127" s="4">
        <v>2</v>
      </c>
      <c r="M127" s="4">
        <v>3</v>
      </c>
      <c r="N127" s="4" t="s">
        <v>3</v>
      </c>
      <c r="O127" s="4">
        <v>2</v>
      </c>
      <c r="P127" s="4"/>
      <c r="Q127" s="4"/>
      <c r="R127" s="4"/>
      <c r="S127" s="4"/>
      <c r="T127" s="4"/>
      <c r="U127" s="4"/>
      <c r="V127" s="4"/>
      <c r="W127" s="4"/>
    </row>
    <row r="128" spans="1:206" x14ac:dyDescent="0.2">
      <c r="A128" s="4">
        <v>50</v>
      </c>
      <c r="B128" s="4">
        <v>0</v>
      </c>
      <c r="C128" s="4">
        <v>0</v>
      </c>
      <c r="D128" s="4">
        <v>1</v>
      </c>
      <c r="E128" s="4">
        <v>222</v>
      </c>
      <c r="F128" s="4">
        <f>ROUND(Source!AO124,O128)</f>
        <v>0</v>
      </c>
      <c r="G128" s="4" t="s">
        <v>54</v>
      </c>
      <c r="H128" s="4" t="s">
        <v>55</v>
      </c>
      <c r="I128" s="4"/>
      <c r="J128" s="4"/>
      <c r="K128" s="4">
        <v>222</v>
      </c>
      <c r="L128" s="4">
        <v>3</v>
      </c>
      <c r="M128" s="4">
        <v>3</v>
      </c>
      <c r="N128" s="4" t="s">
        <v>3</v>
      </c>
      <c r="O128" s="4">
        <v>2</v>
      </c>
      <c r="P128" s="4"/>
      <c r="Q128" s="4"/>
      <c r="R128" s="4"/>
      <c r="S128" s="4"/>
      <c r="T128" s="4"/>
      <c r="U128" s="4"/>
      <c r="V128" s="4"/>
      <c r="W128" s="4"/>
    </row>
    <row r="129" spans="1:23" x14ac:dyDescent="0.2">
      <c r="A129" s="4">
        <v>50</v>
      </c>
      <c r="B129" s="4">
        <v>0</v>
      </c>
      <c r="C129" s="4">
        <v>0</v>
      </c>
      <c r="D129" s="4">
        <v>1</v>
      </c>
      <c r="E129" s="4">
        <v>225</v>
      </c>
      <c r="F129" s="4">
        <f>ROUND(Source!AV124,O129)</f>
        <v>455289.22</v>
      </c>
      <c r="G129" s="4" t="s">
        <v>56</v>
      </c>
      <c r="H129" s="4" t="s">
        <v>57</v>
      </c>
      <c r="I129" s="4"/>
      <c r="J129" s="4"/>
      <c r="K129" s="4">
        <v>225</v>
      </c>
      <c r="L129" s="4">
        <v>4</v>
      </c>
      <c r="M129" s="4">
        <v>3</v>
      </c>
      <c r="N129" s="4" t="s">
        <v>3</v>
      </c>
      <c r="O129" s="4">
        <v>2</v>
      </c>
      <c r="P129" s="4"/>
      <c r="Q129" s="4"/>
      <c r="R129" s="4"/>
      <c r="S129" s="4"/>
      <c r="T129" s="4"/>
      <c r="U129" s="4"/>
      <c r="V129" s="4"/>
      <c r="W129" s="4"/>
    </row>
    <row r="130" spans="1:23" x14ac:dyDescent="0.2">
      <c r="A130" s="4">
        <v>50</v>
      </c>
      <c r="B130" s="4">
        <v>0</v>
      </c>
      <c r="C130" s="4">
        <v>0</v>
      </c>
      <c r="D130" s="4">
        <v>1</v>
      </c>
      <c r="E130" s="4">
        <v>226</v>
      </c>
      <c r="F130" s="4">
        <f>ROUND(Source!AW124,O130)</f>
        <v>455289.22</v>
      </c>
      <c r="G130" s="4" t="s">
        <v>58</v>
      </c>
      <c r="H130" s="4" t="s">
        <v>59</v>
      </c>
      <c r="I130" s="4"/>
      <c r="J130" s="4"/>
      <c r="K130" s="4">
        <v>226</v>
      </c>
      <c r="L130" s="4">
        <v>5</v>
      </c>
      <c r="M130" s="4">
        <v>3</v>
      </c>
      <c r="N130" s="4" t="s">
        <v>3</v>
      </c>
      <c r="O130" s="4">
        <v>2</v>
      </c>
      <c r="P130" s="4"/>
      <c r="Q130" s="4"/>
      <c r="R130" s="4"/>
      <c r="S130" s="4"/>
      <c r="T130" s="4"/>
      <c r="U130" s="4"/>
      <c r="V130" s="4"/>
      <c r="W130" s="4"/>
    </row>
    <row r="131" spans="1:23" x14ac:dyDescent="0.2">
      <c r="A131" s="4">
        <v>50</v>
      </c>
      <c r="B131" s="4">
        <v>0</v>
      </c>
      <c r="C131" s="4">
        <v>0</v>
      </c>
      <c r="D131" s="4">
        <v>1</v>
      </c>
      <c r="E131" s="4">
        <v>227</v>
      </c>
      <c r="F131" s="4">
        <f>ROUND(Source!AX124,O131)</f>
        <v>0</v>
      </c>
      <c r="G131" s="4" t="s">
        <v>60</v>
      </c>
      <c r="H131" s="4" t="s">
        <v>61</v>
      </c>
      <c r="I131" s="4"/>
      <c r="J131" s="4"/>
      <c r="K131" s="4">
        <v>227</v>
      </c>
      <c r="L131" s="4">
        <v>6</v>
      </c>
      <c r="M131" s="4">
        <v>3</v>
      </c>
      <c r="N131" s="4" t="s">
        <v>3</v>
      </c>
      <c r="O131" s="4">
        <v>2</v>
      </c>
      <c r="P131" s="4"/>
      <c r="Q131" s="4"/>
      <c r="R131" s="4"/>
      <c r="S131" s="4"/>
      <c r="T131" s="4"/>
      <c r="U131" s="4"/>
      <c r="V131" s="4"/>
      <c r="W131" s="4"/>
    </row>
    <row r="132" spans="1:23" x14ac:dyDescent="0.2">
      <c r="A132" s="4">
        <v>50</v>
      </c>
      <c r="B132" s="4">
        <v>0</v>
      </c>
      <c r="C132" s="4">
        <v>0</v>
      </c>
      <c r="D132" s="4">
        <v>1</v>
      </c>
      <c r="E132" s="4">
        <v>228</v>
      </c>
      <c r="F132" s="4">
        <f>ROUND(Source!AY124,O132)</f>
        <v>455289.22</v>
      </c>
      <c r="G132" s="4" t="s">
        <v>62</v>
      </c>
      <c r="H132" s="4" t="s">
        <v>63</v>
      </c>
      <c r="I132" s="4"/>
      <c r="J132" s="4"/>
      <c r="K132" s="4">
        <v>228</v>
      </c>
      <c r="L132" s="4">
        <v>7</v>
      </c>
      <c r="M132" s="4">
        <v>3</v>
      </c>
      <c r="N132" s="4" t="s">
        <v>3</v>
      </c>
      <c r="O132" s="4">
        <v>2</v>
      </c>
      <c r="P132" s="4"/>
      <c r="Q132" s="4"/>
      <c r="R132" s="4"/>
      <c r="S132" s="4"/>
      <c r="T132" s="4"/>
      <c r="U132" s="4"/>
      <c r="V132" s="4"/>
      <c r="W132" s="4"/>
    </row>
    <row r="133" spans="1:23" x14ac:dyDescent="0.2">
      <c r="A133" s="4">
        <v>50</v>
      </c>
      <c r="B133" s="4">
        <v>0</v>
      </c>
      <c r="C133" s="4">
        <v>0</v>
      </c>
      <c r="D133" s="4">
        <v>1</v>
      </c>
      <c r="E133" s="4">
        <v>216</v>
      </c>
      <c r="F133" s="4">
        <f>ROUND(Source!AP124,O133)</f>
        <v>0</v>
      </c>
      <c r="G133" s="4" t="s">
        <v>64</v>
      </c>
      <c r="H133" s="4" t="s">
        <v>65</v>
      </c>
      <c r="I133" s="4"/>
      <c r="J133" s="4"/>
      <c r="K133" s="4">
        <v>216</v>
      </c>
      <c r="L133" s="4">
        <v>8</v>
      </c>
      <c r="M133" s="4">
        <v>3</v>
      </c>
      <c r="N133" s="4" t="s">
        <v>3</v>
      </c>
      <c r="O133" s="4">
        <v>2</v>
      </c>
      <c r="P133" s="4"/>
      <c r="Q133" s="4"/>
      <c r="R133" s="4"/>
      <c r="S133" s="4"/>
      <c r="T133" s="4"/>
      <c r="U133" s="4"/>
      <c r="V133" s="4"/>
      <c r="W133" s="4"/>
    </row>
    <row r="134" spans="1:23" x14ac:dyDescent="0.2">
      <c r="A134" s="4">
        <v>50</v>
      </c>
      <c r="B134" s="4">
        <v>0</v>
      </c>
      <c r="C134" s="4">
        <v>0</v>
      </c>
      <c r="D134" s="4">
        <v>1</v>
      </c>
      <c r="E134" s="4">
        <v>223</v>
      </c>
      <c r="F134" s="4">
        <f>ROUND(Source!AQ124,O134)</f>
        <v>0</v>
      </c>
      <c r="G134" s="4" t="s">
        <v>66</v>
      </c>
      <c r="H134" s="4" t="s">
        <v>67</v>
      </c>
      <c r="I134" s="4"/>
      <c r="J134" s="4"/>
      <c r="K134" s="4">
        <v>223</v>
      </c>
      <c r="L134" s="4">
        <v>9</v>
      </c>
      <c r="M134" s="4">
        <v>3</v>
      </c>
      <c r="N134" s="4" t="s">
        <v>3</v>
      </c>
      <c r="O134" s="4">
        <v>2</v>
      </c>
      <c r="P134" s="4"/>
      <c r="Q134" s="4"/>
      <c r="R134" s="4"/>
      <c r="S134" s="4"/>
      <c r="T134" s="4"/>
      <c r="U134" s="4"/>
      <c r="V134" s="4"/>
      <c r="W134" s="4"/>
    </row>
    <row r="135" spans="1:23" x14ac:dyDescent="0.2">
      <c r="A135" s="4">
        <v>50</v>
      </c>
      <c r="B135" s="4">
        <v>0</v>
      </c>
      <c r="C135" s="4">
        <v>0</v>
      </c>
      <c r="D135" s="4">
        <v>1</v>
      </c>
      <c r="E135" s="4">
        <v>229</v>
      </c>
      <c r="F135" s="4">
        <f>ROUND(Source!AZ124,O135)</f>
        <v>0</v>
      </c>
      <c r="G135" s="4" t="s">
        <v>68</v>
      </c>
      <c r="H135" s="4" t="s">
        <v>69</v>
      </c>
      <c r="I135" s="4"/>
      <c r="J135" s="4"/>
      <c r="K135" s="4">
        <v>229</v>
      </c>
      <c r="L135" s="4">
        <v>10</v>
      </c>
      <c r="M135" s="4">
        <v>3</v>
      </c>
      <c r="N135" s="4" t="s">
        <v>3</v>
      </c>
      <c r="O135" s="4">
        <v>2</v>
      </c>
      <c r="P135" s="4"/>
      <c r="Q135" s="4"/>
      <c r="R135" s="4"/>
      <c r="S135" s="4"/>
      <c r="T135" s="4"/>
      <c r="U135" s="4"/>
      <c r="V135" s="4"/>
      <c r="W135" s="4"/>
    </row>
    <row r="136" spans="1:23" x14ac:dyDescent="0.2">
      <c r="A136" s="4">
        <v>50</v>
      </c>
      <c r="B136" s="4">
        <v>0</v>
      </c>
      <c r="C136" s="4">
        <v>0</v>
      </c>
      <c r="D136" s="4">
        <v>1</v>
      </c>
      <c r="E136" s="4">
        <v>203</v>
      </c>
      <c r="F136" s="4">
        <f>ROUND(Source!Q124,O136)</f>
        <v>134566.48000000001</v>
      </c>
      <c r="G136" s="4" t="s">
        <v>70</v>
      </c>
      <c r="H136" s="4" t="s">
        <v>71</v>
      </c>
      <c r="I136" s="4"/>
      <c r="J136" s="4"/>
      <c r="K136" s="4">
        <v>203</v>
      </c>
      <c r="L136" s="4">
        <v>11</v>
      </c>
      <c r="M136" s="4">
        <v>3</v>
      </c>
      <c r="N136" s="4" t="s">
        <v>3</v>
      </c>
      <c r="O136" s="4">
        <v>2</v>
      </c>
      <c r="P136" s="4"/>
      <c r="Q136" s="4"/>
      <c r="R136" s="4"/>
      <c r="S136" s="4"/>
      <c r="T136" s="4"/>
      <c r="U136" s="4"/>
      <c r="V136" s="4"/>
      <c r="W136" s="4"/>
    </row>
    <row r="137" spans="1:23" x14ac:dyDescent="0.2">
      <c r="A137" s="4">
        <v>50</v>
      </c>
      <c r="B137" s="4">
        <v>0</v>
      </c>
      <c r="C137" s="4">
        <v>0</v>
      </c>
      <c r="D137" s="4">
        <v>1</v>
      </c>
      <c r="E137" s="4">
        <v>231</v>
      </c>
      <c r="F137" s="4">
        <f>ROUND(Source!BB124,O137)</f>
        <v>0</v>
      </c>
      <c r="G137" s="4" t="s">
        <v>72</v>
      </c>
      <c r="H137" s="4" t="s">
        <v>73</v>
      </c>
      <c r="I137" s="4"/>
      <c r="J137" s="4"/>
      <c r="K137" s="4">
        <v>231</v>
      </c>
      <c r="L137" s="4">
        <v>12</v>
      </c>
      <c r="M137" s="4">
        <v>3</v>
      </c>
      <c r="N137" s="4" t="s">
        <v>3</v>
      </c>
      <c r="O137" s="4">
        <v>2</v>
      </c>
      <c r="P137" s="4"/>
      <c r="Q137" s="4"/>
      <c r="R137" s="4"/>
      <c r="S137" s="4"/>
      <c r="T137" s="4"/>
      <c r="U137" s="4"/>
      <c r="V137" s="4"/>
      <c r="W137" s="4"/>
    </row>
    <row r="138" spans="1:23" x14ac:dyDescent="0.2">
      <c r="A138" s="4">
        <v>50</v>
      </c>
      <c r="B138" s="4">
        <v>0</v>
      </c>
      <c r="C138" s="4">
        <v>0</v>
      </c>
      <c r="D138" s="4">
        <v>1</v>
      </c>
      <c r="E138" s="4">
        <v>204</v>
      </c>
      <c r="F138" s="4">
        <f>ROUND(Source!R124,O138)</f>
        <v>75336.649999999994</v>
      </c>
      <c r="G138" s="4" t="s">
        <v>74</v>
      </c>
      <c r="H138" s="4" t="s">
        <v>75</v>
      </c>
      <c r="I138" s="4"/>
      <c r="J138" s="4"/>
      <c r="K138" s="4">
        <v>204</v>
      </c>
      <c r="L138" s="4">
        <v>13</v>
      </c>
      <c r="M138" s="4">
        <v>3</v>
      </c>
      <c r="N138" s="4" t="s">
        <v>3</v>
      </c>
      <c r="O138" s="4">
        <v>2</v>
      </c>
      <c r="P138" s="4"/>
      <c r="Q138" s="4"/>
      <c r="R138" s="4"/>
      <c r="S138" s="4"/>
      <c r="T138" s="4"/>
      <c r="U138" s="4"/>
      <c r="V138" s="4"/>
      <c r="W138" s="4"/>
    </row>
    <row r="139" spans="1:23" x14ac:dyDescent="0.2">
      <c r="A139" s="4">
        <v>50</v>
      </c>
      <c r="B139" s="4">
        <v>0</v>
      </c>
      <c r="C139" s="4">
        <v>0</v>
      </c>
      <c r="D139" s="4">
        <v>1</v>
      </c>
      <c r="E139" s="4">
        <v>205</v>
      </c>
      <c r="F139" s="4">
        <f>ROUND(Source!S124,O139)</f>
        <v>234522.43</v>
      </c>
      <c r="G139" s="4" t="s">
        <v>76</v>
      </c>
      <c r="H139" s="4" t="s">
        <v>77</v>
      </c>
      <c r="I139" s="4"/>
      <c r="J139" s="4"/>
      <c r="K139" s="4">
        <v>205</v>
      </c>
      <c r="L139" s="4">
        <v>14</v>
      </c>
      <c r="M139" s="4">
        <v>3</v>
      </c>
      <c r="N139" s="4" t="s">
        <v>3</v>
      </c>
      <c r="O139" s="4">
        <v>2</v>
      </c>
      <c r="P139" s="4"/>
      <c r="Q139" s="4"/>
      <c r="R139" s="4"/>
      <c r="S139" s="4"/>
      <c r="T139" s="4"/>
      <c r="U139" s="4"/>
      <c r="V139" s="4"/>
      <c r="W139" s="4"/>
    </row>
    <row r="140" spans="1:23" x14ac:dyDescent="0.2">
      <c r="A140" s="4">
        <v>50</v>
      </c>
      <c r="B140" s="4">
        <v>0</v>
      </c>
      <c r="C140" s="4">
        <v>0</v>
      </c>
      <c r="D140" s="4">
        <v>1</v>
      </c>
      <c r="E140" s="4">
        <v>232</v>
      </c>
      <c r="F140" s="4">
        <f>ROUND(Source!BC124,O140)</f>
        <v>0</v>
      </c>
      <c r="G140" s="4" t="s">
        <v>78</v>
      </c>
      <c r="H140" s="4" t="s">
        <v>79</v>
      </c>
      <c r="I140" s="4"/>
      <c r="J140" s="4"/>
      <c r="K140" s="4">
        <v>232</v>
      </c>
      <c r="L140" s="4">
        <v>15</v>
      </c>
      <c r="M140" s="4">
        <v>3</v>
      </c>
      <c r="N140" s="4" t="s">
        <v>3</v>
      </c>
      <c r="O140" s="4">
        <v>2</v>
      </c>
      <c r="P140" s="4"/>
      <c r="Q140" s="4"/>
      <c r="R140" s="4"/>
      <c r="S140" s="4"/>
      <c r="T140" s="4"/>
      <c r="U140" s="4"/>
      <c r="V140" s="4"/>
      <c r="W140" s="4"/>
    </row>
    <row r="141" spans="1:23" x14ac:dyDescent="0.2">
      <c r="A141" s="4">
        <v>50</v>
      </c>
      <c r="B141" s="4">
        <v>0</v>
      </c>
      <c r="C141" s="4">
        <v>0</v>
      </c>
      <c r="D141" s="4">
        <v>1</v>
      </c>
      <c r="E141" s="4">
        <v>214</v>
      </c>
      <c r="F141" s="4">
        <f>ROUND(Source!AS124,O141)</f>
        <v>0</v>
      </c>
      <c r="G141" s="4" t="s">
        <v>80</v>
      </c>
      <c r="H141" s="4" t="s">
        <v>81</v>
      </c>
      <c r="I141" s="4"/>
      <c r="J141" s="4"/>
      <c r="K141" s="4">
        <v>214</v>
      </c>
      <c r="L141" s="4">
        <v>16</v>
      </c>
      <c r="M141" s="4">
        <v>3</v>
      </c>
      <c r="N141" s="4" t="s">
        <v>3</v>
      </c>
      <c r="O141" s="4">
        <v>2</v>
      </c>
      <c r="P141" s="4"/>
      <c r="Q141" s="4"/>
      <c r="R141" s="4"/>
      <c r="S141" s="4"/>
      <c r="T141" s="4"/>
      <c r="U141" s="4"/>
      <c r="V141" s="4"/>
      <c r="W141" s="4"/>
    </row>
    <row r="142" spans="1:23" x14ac:dyDescent="0.2">
      <c r="A142" s="4">
        <v>50</v>
      </c>
      <c r="B142" s="4">
        <v>0</v>
      </c>
      <c r="C142" s="4">
        <v>0</v>
      </c>
      <c r="D142" s="4">
        <v>1</v>
      </c>
      <c r="E142" s="4">
        <v>215</v>
      </c>
      <c r="F142" s="4">
        <f>ROUND(Source!AT124,O142)</f>
        <v>0</v>
      </c>
      <c r="G142" s="4" t="s">
        <v>82</v>
      </c>
      <c r="H142" s="4" t="s">
        <v>83</v>
      </c>
      <c r="I142" s="4"/>
      <c r="J142" s="4"/>
      <c r="K142" s="4">
        <v>215</v>
      </c>
      <c r="L142" s="4">
        <v>17</v>
      </c>
      <c r="M142" s="4">
        <v>3</v>
      </c>
      <c r="N142" s="4" t="s">
        <v>3</v>
      </c>
      <c r="O142" s="4">
        <v>2</v>
      </c>
      <c r="P142" s="4"/>
      <c r="Q142" s="4"/>
      <c r="R142" s="4"/>
      <c r="S142" s="4"/>
      <c r="T142" s="4"/>
      <c r="U142" s="4"/>
      <c r="V142" s="4"/>
      <c r="W142" s="4"/>
    </row>
    <row r="143" spans="1:23" x14ac:dyDescent="0.2">
      <c r="A143" s="4">
        <v>50</v>
      </c>
      <c r="B143" s="4">
        <v>0</v>
      </c>
      <c r="C143" s="4">
        <v>0</v>
      </c>
      <c r="D143" s="4">
        <v>1</v>
      </c>
      <c r="E143" s="4">
        <v>217</v>
      </c>
      <c r="F143" s="4">
        <f>ROUND(Source!AU124,O143)</f>
        <v>1093359.6499999999</v>
      </c>
      <c r="G143" s="4" t="s">
        <v>84</v>
      </c>
      <c r="H143" s="4" t="s">
        <v>85</v>
      </c>
      <c r="I143" s="4"/>
      <c r="J143" s="4"/>
      <c r="K143" s="4">
        <v>217</v>
      </c>
      <c r="L143" s="4">
        <v>18</v>
      </c>
      <c r="M143" s="4">
        <v>3</v>
      </c>
      <c r="N143" s="4" t="s">
        <v>3</v>
      </c>
      <c r="O143" s="4">
        <v>2</v>
      </c>
      <c r="P143" s="4"/>
      <c r="Q143" s="4"/>
      <c r="R143" s="4"/>
      <c r="S143" s="4"/>
      <c r="T143" s="4"/>
      <c r="U143" s="4"/>
      <c r="V143" s="4"/>
      <c r="W143" s="4"/>
    </row>
    <row r="144" spans="1:23" x14ac:dyDescent="0.2">
      <c r="A144" s="4">
        <v>50</v>
      </c>
      <c r="B144" s="4">
        <v>0</v>
      </c>
      <c r="C144" s="4">
        <v>0</v>
      </c>
      <c r="D144" s="4">
        <v>1</v>
      </c>
      <c r="E144" s="4">
        <v>230</v>
      </c>
      <c r="F144" s="4">
        <f>ROUND(Source!BA124,O144)</f>
        <v>0</v>
      </c>
      <c r="G144" s="4" t="s">
        <v>86</v>
      </c>
      <c r="H144" s="4" t="s">
        <v>87</v>
      </c>
      <c r="I144" s="4"/>
      <c r="J144" s="4"/>
      <c r="K144" s="4">
        <v>230</v>
      </c>
      <c r="L144" s="4">
        <v>19</v>
      </c>
      <c r="M144" s="4">
        <v>3</v>
      </c>
      <c r="N144" s="4" t="s">
        <v>3</v>
      </c>
      <c r="O144" s="4">
        <v>2</v>
      </c>
      <c r="P144" s="4"/>
      <c r="Q144" s="4"/>
      <c r="R144" s="4"/>
      <c r="S144" s="4"/>
      <c r="T144" s="4"/>
      <c r="U144" s="4"/>
      <c r="V144" s="4"/>
      <c r="W144" s="4"/>
    </row>
    <row r="145" spans="1:206" x14ac:dyDescent="0.2">
      <c r="A145" s="4">
        <v>50</v>
      </c>
      <c r="B145" s="4">
        <v>0</v>
      </c>
      <c r="C145" s="4">
        <v>0</v>
      </c>
      <c r="D145" s="4">
        <v>1</v>
      </c>
      <c r="E145" s="4">
        <v>206</v>
      </c>
      <c r="F145" s="4">
        <f>ROUND(Source!T124,O145)</f>
        <v>0</v>
      </c>
      <c r="G145" s="4" t="s">
        <v>88</v>
      </c>
      <c r="H145" s="4" t="s">
        <v>89</v>
      </c>
      <c r="I145" s="4"/>
      <c r="J145" s="4"/>
      <c r="K145" s="4">
        <v>206</v>
      </c>
      <c r="L145" s="4">
        <v>20</v>
      </c>
      <c r="M145" s="4">
        <v>3</v>
      </c>
      <c r="N145" s="4" t="s">
        <v>3</v>
      </c>
      <c r="O145" s="4">
        <v>2</v>
      </c>
      <c r="P145" s="4"/>
      <c r="Q145" s="4"/>
      <c r="R145" s="4"/>
      <c r="S145" s="4"/>
      <c r="T145" s="4"/>
      <c r="U145" s="4"/>
      <c r="V145" s="4"/>
      <c r="W145" s="4"/>
    </row>
    <row r="146" spans="1:206" x14ac:dyDescent="0.2">
      <c r="A146" s="4">
        <v>50</v>
      </c>
      <c r="B146" s="4">
        <v>0</v>
      </c>
      <c r="C146" s="4">
        <v>0</v>
      </c>
      <c r="D146" s="4">
        <v>1</v>
      </c>
      <c r="E146" s="4">
        <v>207</v>
      </c>
      <c r="F146" s="4">
        <f>Source!U124</f>
        <v>1034.3059625999999</v>
      </c>
      <c r="G146" s="4" t="s">
        <v>90</v>
      </c>
      <c r="H146" s="4" t="s">
        <v>91</v>
      </c>
      <c r="I146" s="4"/>
      <c r="J146" s="4"/>
      <c r="K146" s="4">
        <v>207</v>
      </c>
      <c r="L146" s="4">
        <v>21</v>
      </c>
      <c r="M146" s="4">
        <v>3</v>
      </c>
      <c r="N146" s="4" t="s">
        <v>3</v>
      </c>
      <c r="O146" s="4">
        <v>-1</v>
      </c>
      <c r="P146" s="4"/>
      <c r="Q146" s="4"/>
      <c r="R146" s="4"/>
      <c r="S146" s="4"/>
      <c r="T146" s="4"/>
      <c r="U146" s="4"/>
      <c r="V146" s="4"/>
      <c r="W146" s="4"/>
    </row>
    <row r="147" spans="1:206" x14ac:dyDescent="0.2">
      <c r="A147" s="4">
        <v>50</v>
      </c>
      <c r="B147" s="4">
        <v>0</v>
      </c>
      <c r="C147" s="4">
        <v>0</v>
      </c>
      <c r="D147" s="4">
        <v>1</v>
      </c>
      <c r="E147" s="4">
        <v>208</v>
      </c>
      <c r="F147" s="4">
        <f>Source!V124</f>
        <v>0</v>
      </c>
      <c r="G147" s="4" t="s">
        <v>92</v>
      </c>
      <c r="H147" s="4" t="s">
        <v>93</v>
      </c>
      <c r="I147" s="4"/>
      <c r="J147" s="4"/>
      <c r="K147" s="4">
        <v>208</v>
      </c>
      <c r="L147" s="4">
        <v>22</v>
      </c>
      <c r="M147" s="4">
        <v>3</v>
      </c>
      <c r="N147" s="4" t="s">
        <v>3</v>
      </c>
      <c r="O147" s="4">
        <v>-1</v>
      </c>
      <c r="P147" s="4"/>
      <c r="Q147" s="4"/>
      <c r="R147" s="4"/>
      <c r="S147" s="4"/>
      <c r="T147" s="4"/>
      <c r="U147" s="4"/>
      <c r="V147" s="4"/>
      <c r="W147" s="4"/>
    </row>
    <row r="148" spans="1:206" x14ac:dyDescent="0.2">
      <c r="A148" s="4">
        <v>50</v>
      </c>
      <c r="B148" s="4">
        <v>0</v>
      </c>
      <c r="C148" s="4">
        <v>0</v>
      </c>
      <c r="D148" s="4">
        <v>1</v>
      </c>
      <c r="E148" s="4">
        <v>209</v>
      </c>
      <c r="F148" s="4">
        <f>ROUND(Source!W124,O148)</f>
        <v>0</v>
      </c>
      <c r="G148" s="4" t="s">
        <v>94</v>
      </c>
      <c r="H148" s="4" t="s">
        <v>95</v>
      </c>
      <c r="I148" s="4"/>
      <c r="J148" s="4"/>
      <c r="K148" s="4">
        <v>209</v>
      </c>
      <c r="L148" s="4">
        <v>23</v>
      </c>
      <c r="M148" s="4">
        <v>3</v>
      </c>
      <c r="N148" s="4" t="s">
        <v>3</v>
      </c>
      <c r="O148" s="4">
        <v>2</v>
      </c>
      <c r="P148" s="4"/>
      <c r="Q148" s="4"/>
      <c r="R148" s="4"/>
      <c r="S148" s="4"/>
      <c r="T148" s="4"/>
      <c r="U148" s="4"/>
      <c r="V148" s="4"/>
      <c r="W148" s="4"/>
    </row>
    <row r="149" spans="1:206" x14ac:dyDescent="0.2">
      <c r="A149" s="4">
        <v>50</v>
      </c>
      <c r="B149" s="4">
        <v>0</v>
      </c>
      <c r="C149" s="4">
        <v>0</v>
      </c>
      <c r="D149" s="4">
        <v>1</v>
      </c>
      <c r="E149" s="4">
        <v>233</v>
      </c>
      <c r="F149" s="4">
        <f>ROUND(Source!BD124,O149)</f>
        <v>0</v>
      </c>
      <c r="G149" s="4" t="s">
        <v>96</v>
      </c>
      <c r="H149" s="4" t="s">
        <v>97</v>
      </c>
      <c r="I149" s="4"/>
      <c r="J149" s="4"/>
      <c r="K149" s="4">
        <v>233</v>
      </c>
      <c r="L149" s="4">
        <v>24</v>
      </c>
      <c r="M149" s="4">
        <v>3</v>
      </c>
      <c r="N149" s="4" t="s">
        <v>3</v>
      </c>
      <c r="O149" s="4">
        <v>2</v>
      </c>
      <c r="P149" s="4"/>
      <c r="Q149" s="4"/>
      <c r="R149" s="4"/>
      <c r="S149" s="4"/>
      <c r="T149" s="4"/>
      <c r="U149" s="4"/>
      <c r="V149" s="4"/>
      <c r="W149" s="4"/>
    </row>
    <row r="150" spans="1:206" x14ac:dyDescent="0.2">
      <c r="A150" s="4">
        <v>50</v>
      </c>
      <c r="B150" s="4">
        <v>0</v>
      </c>
      <c r="C150" s="4">
        <v>0</v>
      </c>
      <c r="D150" s="4">
        <v>1</v>
      </c>
      <c r="E150" s="4">
        <v>210</v>
      </c>
      <c r="F150" s="4">
        <f>ROUND(Source!X124,O150)</f>
        <v>164165.69</v>
      </c>
      <c r="G150" s="4" t="s">
        <v>98</v>
      </c>
      <c r="H150" s="4" t="s">
        <v>99</v>
      </c>
      <c r="I150" s="4"/>
      <c r="J150" s="4"/>
      <c r="K150" s="4">
        <v>210</v>
      </c>
      <c r="L150" s="4">
        <v>25</v>
      </c>
      <c r="M150" s="4">
        <v>3</v>
      </c>
      <c r="N150" s="4" t="s">
        <v>3</v>
      </c>
      <c r="O150" s="4">
        <v>2</v>
      </c>
      <c r="P150" s="4"/>
      <c r="Q150" s="4"/>
      <c r="R150" s="4"/>
      <c r="S150" s="4"/>
      <c r="T150" s="4"/>
      <c r="U150" s="4"/>
      <c r="V150" s="4"/>
      <c r="W150" s="4"/>
    </row>
    <row r="151" spans="1:206" x14ac:dyDescent="0.2">
      <c r="A151" s="4">
        <v>50</v>
      </c>
      <c r="B151" s="4">
        <v>0</v>
      </c>
      <c r="C151" s="4">
        <v>0</v>
      </c>
      <c r="D151" s="4">
        <v>1</v>
      </c>
      <c r="E151" s="4">
        <v>211</v>
      </c>
      <c r="F151" s="4">
        <f>ROUND(Source!Y124,O151)</f>
        <v>23452.26</v>
      </c>
      <c r="G151" s="4" t="s">
        <v>100</v>
      </c>
      <c r="H151" s="4" t="s">
        <v>101</v>
      </c>
      <c r="I151" s="4"/>
      <c r="J151" s="4"/>
      <c r="K151" s="4">
        <v>211</v>
      </c>
      <c r="L151" s="4">
        <v>26</v>
      </c>
      <c r="M151" s="4">
        <v>3</v>
      </c>
      <c r="N151" s="4" t="s">
        <v>3</v>
      </c>
      <c r="O151" s="4">
        <v>2</v>
      </c>
      <c r="P151" s="4"/>
      <c r="Q151" s="4"/>
      <c r="R151" s="4"/>
      <c r="S151" s="4"/>
      <c r="T151" s="4"/>
      <c r="U151" s="4"/>
      <c r="V151" s="4"/>
      <c r="W151" s="4"/>
    </row>
    <row r="152" spans="1:206" x14ac:dyDescent="0.2">
      <c r="A152" s="4">
        <v>50</v>
      </c>
      <c r="B152" s="4">
        <v>0</v>
      </c>
      <c r="C152" s="4">
        <v>0</v>
      </c>
      <c r="D152" s="4">
        <v>1</v>
      </c>
      <c r="E152" s="4">
        <v>224</v>
      </c>
      <c r="F152" s="4">
        <f>ROUND(Source!AR124,O152)</f>
        <v>1093359.6499999999</v>
      </c>
      <c r="G152" s="4" t="s">
        <v>102</v>
      </c>
      <c r="H152" s="4" t="s">
        <v>103</v>
      </c>
      <c r="I152" s="4"/>
      <c r="J152" s="4"/>
      <c r="K152" s="4">
        <v>224</v>
      </c>
      <c r="L152" s="4">
        <v>27</v>
      </c>
      <c r="M152" s="4">
        <v>3</v>
      </c>
      <c r="N152" s="4" t="s">
        <v>3</v>
      </c>
      <c r="O152" s="4">
        <v>2</v>
      </c>
      <c r="P152" s="4"/>
      <c r="Q152" s="4"/>
      <c r="R152" s="4"/>
      <c r="S152" s="4"/>
      <c r="T152" s="4"/>
      <c r="U152" s="4"/>
      <c r="V152" s="4"/>
      <c r="W152" s="4"/>
    </row>
    <row r="154" spans="1:206" x14ac:dyDescent="0.2">
      <c r="A154" s="1">
        <v>4</v>
      </c>
      <c r="B154" s="1">
        <v>1</v>
      </c>
      <c r="C154" s="1"/>
      <c r="D154" s="1">
        <f>ROW(A260)</f>
        <v>260</v>
      </c>
      <c r="E154" s="1"/>
      <c r="F154" s="1" t="s">
        <v>12</v>
      </c>
      <c r="G154" s="1" t="s">
        <v>182</v>
      </c>
      <c r="H154" s="1" t="s">
        <v>3</v>
      </c>
      <c r="I154" s="1">
        <v>0</v>
      </c>
      <c r="J154" s="1"/>
      <c r="K154" s="1">
        <v>0</v>
      </c>
      <c r="L154" s="1"/>
      <c r="M154" s="1"/>
      <c r="N154" s="1"/>
      <c r="O154" s="1"/>
      <c r="P154" s="1"/>
      <c r="Q154" s="1"/>
      <c r="R154" s="1"/>
      <c r="S154" s="1"/>
      <c r="T154" s="1"/>
      <c r="U154" s="1" t="s">
        <v>3</v>
      </c>
      <c r="V154" s="1">
        <v>0</v>
      </c>
      <c r="W154" s="1"/>
      <c r="X154" s="1"/>
      <c r="Y154" s="1"/>
      <c r="Z154" s="1"/>
      <c r="AA154" s="1"/>
      <c r="AB154" s="1" t="s">
        <v>3</v>
      </c>
      <c r="AC154" s="1" t="s">
        <v>3</v>
      </c>
      <c r="AD154" s="1" t="s">
        <v>3</v>
      </c>
      <c r="AE154" s="1" t="s">
        <v>3</v>
      </c>
      <c r="AF154" s="1" t="s">
        <v>3</v>
      </c>
      <c r="AG154" s="1" t="s">
        <v>3</v>
      </c>
      <c r="AH154" s="1"/>
      <c r="AI154" s="1"/>
      <c r="AJ154" s="1"/>
      <c r="AK154" s="1"/>
      <c r="AL154" s="1"/>
      <c r="AM154" s="1"/>
      <c r="AN154" s="1"/>
      <c r="AO154" s="1"/>
      <c r="AP154" s="1" t="s">
        <v>3</v>
      </c>
      <c r="AQ154" s="1" t="s">
        <v>3</v>
      </c>
      <c r="AR154" s="1" t="s">
        <v>3</v>
      </c>
      <c r="AS154" s="1"/>
      <c r="AT154" s="1"/>
      <c r="AU154" s="1"/>
      <c r="AV154" s="1"/>
      <c r="AW154" s="1"/>
      <c r="AX154" s="1"/>
      <c r="AY154" s="1"/>
      <c r="AZ154" s="1" t="s">
        <v>3</v>
      </c>
      <c r="BA154" s="1"/>
      <c r="BB154" s="1" t="s">
        <v>3</v>
      </c>
      <c r="BC154" s="1" t="s">
        <v>3</v>
      </c>
      <c r="BD154" s="1" t="s">
        <v>3</v>
      </c>
      <c r="BE154" s="1" t="s">
        <v>3</v>
      </c>
      <c r="BF154" s="1" t="s">
        <v>3</v>
      </c>
      <c r="BG154" s="1" t="s">
        <v>3</v>
      </c>
      <c r="BH154" s="1" t="s">
        <v>3</v>
      </c>
      <c r="BI154" s="1" t="s">
        <v>3</v>
      </c>
      <c r="BJ154" s="1" t="s">
        <v>3</v>
      </c>
      <c r="BK154" s="1" t="s">
        <v>3</v>
      </c>
      <c r="BL154" s="1" t="s">
        <v>3</v>
      </c>
      <c r="BM154" s="1" t="s">
        <v>3</v>
      </c>
      <c r="BN154" s="1" t="s">
        <v>3</v>
      </c>
      <c r="BO154" s="1" t="s">
        <v>3</v>
      </c>
      <c r="BP154" s="1" t="s">
        <v>3</v>
      </c>
      <c r="BQ154" s="1"/>
      <c r="BR154" s="1"/>
      <c r="BS154" s="1"/>
      <c r="BT154" s="1"/>
      <c r="BU154" s="1"/>
      <c r="BV154" s="1"/>
      <c r="BW154" s="1"/>
      <c r="BX154" s="1">
        <v>0</v>
      </c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>
        <v>0</v>
      </c>
    </row>
    <row r="156" spans="1:206" x14ac:dyDescent="0.2">
      <c r="A156" s="2">
        <v>52</v>
      </c>
      <c r="B156" s="2">
        <f t="shared" ref="B156:G156" si="87">B260</f>
        <v>1</v>
      </c>
      <c r="C156" s="2">
        <f t="shared" si="87"/>
        <v>4</v>
      </c>
      <c r="D156" s="2">
        <f t="shared" si="87"/>
        <v>154</v>
      </c>
      <c r="E156" s="2">
        <f t="shared" si="87"/>
        <v>0</v>
      </c>
      <c r="F156" s="2" t="str">
        <f t="shared" si="87"/>
        <v>Новый раздел</v>
      </c>
      <c r="G156" s="2" t="str">
        <f t="shared" si="87"/>
        <v>Игровые и спортивные площадки</v>
      </c>
      <c r="H156" s="2"/>
      <c r="I156" s="2"/>
      <c r="J156" s="2"/>
      <c r="K156" s="2"/>
      <c r="L156" s="2"/>
      <c r="M156" s="2"/>
      <c r="N156" s="2"/>
      <c r="O156" s="2">
        <f t="shared" ref="O156:AT156" si="88">O260</f>
        <v>1615065.65</v>
      </c>
      <c r="P156" s="2">
        <f t="shared" si="88"/>
        <v>1271603.55</v>
      </c>
      <c r="Q156" s="2">
        <f t="shared" si="88"/>
        <v>91453.42</v>
      </c>
      <c r="R156" s="2">
        <f t="shared" si="88"/>
        <v>53037.97</v>
      </c>
      <c r="S156" s="2">
        <f t="shared" si="88"/>
        <v>252008.68</v>
      </c>
      <c r="T156" s="2">
        <f t="shared" si="88"/>
        <v>0</v>
      </c>
      <c r="U156" s="2">
        <f t="shared" si="88"/>
        <v>1121.0943500000001</v>
      </c>
      <c r="V156" s="2">
        <f t="shared" si="88"/>
        <v>0</v>
      </c>
      <c r="W156" s="2">
        <f t="shared" si="88"/>
        <v>0</v>
      </c>
      <c r="X156" s="2">
        <f t="shared" si="88"/>
        <v>176406.09</v>
      </c>
      <c r="Y156" s="2">
        <f t="shared" si="88"/>
        <v>25200.89</v>
      </c>
      <c r="Z156" s="2">
        <f t="shared" si="88"/>
        <v>0</v>
      </c>
      <c r="AA156" s="2">
        <f t="shared" si="88"/>
        <v>0</v>
      </c>
      <c r="AB156" s="2">
        <f t="shared" si="88"/>
        <v>0</v>
      </c>
      <c r="AC156" s="2">
        <f t="shared" si="88"/>
        <v>0</v>
      </c>
      <c r="AD156" s="2">
        <f t="shared" si="88"/>
        <v>0</v>
      </c>
      <c r="AE156" s="2">
        <f t="shared" si="88"/>
        <v>0</v>
      </c>
      <c r="AF156" s="2">
        <f t="shared" si="88"/>
        <v>0</v>
      </c>
      <c r="AG156" s="2">
        <f t="shared" si="88"/>
        <v>0</v>
      </c>
      <c r="AH156" s="2">
        <f t="shared" si="88"/>
        <v>0</v>
      </c>
      <c r="AI156" s="2">
        <f t="shared" si="88"/>
        <v>0</v>
      </c>
      <c r="AJ156" s="2">
        <f t="shared" si="88"/>
        <v>0</v>
      </c>
      <c r="AK156" s="2">
        <f t="shared" si="88"/>
        <v>0</v>
      </c>
      <c r="AL156" s="2">
        <f t="shared" si="88"/>
        <v>0</v>
      </c>
      <c r="AM156" s="2">
        <f t="shared" si="88"/>
        <v>0</v>
      </c>
      <c r="AN156" s="2">
        <f t="shared" si="88"/>
        <v>0</v>
      </c>
      <c r="AO156" s="2">
        <f t="shared" si="88"/>
        <v>0</v>
      </c>
      <c r="AP156" s="2">
        <f t="shared" si="88"/>
        <v>0</v>
      </c>
      <c r="AQ156" s="2">
        <f t="shared" si="88"/>
        <v>0</v>
      </c>
      <c r="AR156" s="2">
        <f t="shared" si="88"/>
        <v>1873953.64</v>
      </c>
      <c r="AS156" s="2">
        <f t="shared" si="88"/>
        <v>0</v>
      </c>
      <c r="AT156" s="2">
        <f t="shared" si="88"/>
        <v>0</v>
      </c>
      <c r="AU156" s="2">
        <f t="shared" ref="AU156:BZ156" si="89">AU260</f>
        <v>1873953.64</v>
      </c>
      <c r="AV156" s="2">
        <f t="shared" si="89"/>
        <v>1271603.55</v>
      </c>
      <c r="AW156" s="2">
        <f t="shared" si="89"/>
        <v>1271603.55</v>
      </c>
      <c r="AX156" s="2">
        <f t="shared" si="89"/>
        <v>0</v>
      </c>
      <c r="AY156" s="2">
        <f t="shared" si="89"/>
        <v>1271603.55</v>
      </c>
      <c r="AZ156" s="2">
        <f t="shared" si="89"/>
        <v>0</v>
      </c>
      <c r="BA156" s="2">
        <f t="shared" si="89"/>
        <v>0</v>
      </c>
      <c r="BB156" s="2">
        <f t="shared" si="89"/>
        <v>0</v>
      </c>
      <c r="BC156" s="2">
        <f t="shared" si="89"/>
        <v>0</v>
      </c>
      <c r="BD156" s="2">
        <f t="shared" si="89"/>
        <v>0</v>
      </c>
      <c r="BE156" s="2">
        <f t="shared" si="89"/>
        <v>0</v>
      </c>
      <c r="BF156" s="2">
        <f t="shared" si="89"/>
        <v>0</v>
      </c>
      <c r="BG156" s="2">
        <f t="shared" si="89"/>
        <v>0</v>
      </c>
      <c r="BH156" s="2">
        <f t="shared" si="89"/>
        <v>0</v>
      </c>
      <c r="BI156" s="2">
        <f t="shared" si="89"/>
        <v>0</v>
      </c>
      <c r="BJ156" s="2">
        <f t="shared" si="89"/>
        <v>0</v>
      </c>
      <c r="BK156" s="2">
        <f t="shared" si="89"/>
        <v>0</v>
      </c>
      <c r="BL156" s="2">
        <f t="shared" si="89"/>
        <v>0</v>
      </c>
      <c r="BM156" s="2">
        <f t="shared" si="89"/>
        <v>0</v>
      </c>
      <c r="BN156" s="2">
        <f t="shared" si="89"/>
        <v>0</v>
      </c>
      <c r="BO156" s="2">
        <f t="shared" si="89"/>
        <v>0</v>
      </c>
      <c r="BP156" s="2">
        <f t="shared" si="89"/>
        <v>0</v>
      </c>
      <c r="BQ156" s="2">
        <f t="shared" si="89"/>
        <v>0</v>
      </c>
      <c r="BR156" s="2">
        <f t="shared" si="89"/>
        <v>0</v>
      </c>
      <c r="BS156" s="2">
        <f t="shared" si="89"/>
        <v>0</v>
      </c>
      <c r="BT156" s="2">
        <f t="shared" si="89"/>
        <v>0</v>
      </c>
      <c r="BU156" s="2">
        <f t="shared" si="89"/>
        <v>0</v>
      </c>
      <c r="BV156" s="2">
        <f t="shared" si="89"/>
        <v>0</v>
      </c>
      <c r="BW156" s="2">
        <f t="shared" si="89"/>
        <v>0</v>
      </c>
      <c r="BX156" s="2">
        <f t="shared" si="89"/>
        <v>0</v>
      </c>
      <c r="BY156" s="2">
        <f t="shared" si="89"/>
        <v>0</v>
      </c>
      <c r="BZ156" s="2">
        <f t="shared" si="89"/>
        <v>0</v>
      </c>
      <c r="CA156" s="2">
        <f t="shared" ref="CA156:DF156" si="90">CA260</f>
        <v>0</v>
      </c>
      <c r="CB156" s="2">
        <f t="shared" si="90"/>
        <v>0</v>
      </c>
      <c r="CC156" s="2">
        <f t="shared" si="90"/>
        <v>0</v>
      </c>
      <c r="CD156" s="2">
        <f t="shared" si="90"/>
        <v>0</v>
      </c>
      <c r="CE156" s="2">
        <f t="shared" si="90"/>
        <v>0</v>
      </c>
      <c r="CF156" s="2">
        <f t="shared" si="90"/>
        <v>0</v>
      </c>
      <c r="CG156" s="2">
        <f t="shared" si="90"/>
        <v>0</v>
      </c>
      <c r="CH156" s="2">
        <f t="shared" si="90"/>
        <v>0</v>
      </c>
      <c r="CI156" s="2">
        <f t="shared" si="90"/>
        <v>0</v>
      </c>
      <c r="CJ156" s="2">
        <f t="shared" si="90"/>
        <v>0</v>
      </c>
      <c r="CK156" s="2">
        <f t="shared" si="90"/>
        <v>0</v>
      </c>
      <c r="CL156" s="2">
        <f t="shared" si="90"/>
        <v>0</v>
      </c>
      <c r="CM156" s="2">
        <f t="shared" si="90"/>
        <v>0</v>
      </c>
      <c r="CN156" s="2">
        <f t="shared" si="90"/>
        <v>0</v>
      </c>
      <c r="CO156" s="2">
        <f t="shared" si="90"/>
        <v>0</v>
      </c>
      <c r="CP156" s="2">
        <f t="shared" si="90"/>
        <v>0</v>
      </c>
      <c r="CQ156" s="2">
        <f t="shared" si="90"/>
        <v>0</v>
      </c>
      <c r="CR156" s="2">
        <f t="shared" si="90"/>
        <v>0</v>
      </c>
      <c r="CS156" s="2">
        <f t="shared" si="90"/>
        <v>0</v>
      </c>
      <c r="CT156" s="2">
        <f t="shared" si="90"/>
        <v>0</v>
      </c>
      <c r="CU156" s="2">
        <f t="shared" si="90"/>
        <v>0</v>
      </c>
      <c r="CV156" s="2">
        <f t="shared" si="90"/>
        <v>0</v>
      </c>
      <c r="CW156" s="2">
        <f t="shared" si="90"/>
        <v>0</v>
      </c>
      <c r="CX156" s="2">
        <f t="shared" si="90"/>
        <v>0</v>
      </c>
      <c r="CY156" s="2">
        <f t="shared" si="90"/>
        <v>0</v>
      </c>
      <c r="CZ156" s="2">
        <f t="shared" si="90"/>
        <v>0</v>
      </c>
      <c r="DA156" s="2">
        <f t="shared" si="90"/>
        <v>0</v>
      </c>
      <c r="DB156" s="2">
        <f t="shared" si="90"/>
        <v>0</v>
      </c>
      <c r="DC156" s="2">
        <f t="shared" si="90"/>
        <v>0</v>
      </c>
      <c r="DD156" s="2">
        <f t="shared" si="90"/>
        <v>0</v>
      </c>
      <c r="DE156" s="2">
        <f t="shared" si="90"/>
        <v>0</v>
      </c>
      <c r="DF156" s="2">
        <f t="shared" si="90"/>
        <v>0</v>
      </c>
      <c r="DG156" s="3">
        <f t="shared" ref="DG156:EL156" si="91">DG260</f>
        <v>0</v>
      </c>
      <c r="DH156" s="3">
        <f t="shared" si="91"/>
        <v>0</v>
      </c>
      <c r="DI156" s="3">
        <f t="shared" si="91"/>
        <v>0</v>
      </c>
      <c r="DJ156" s="3">
        <f t="shared" si="91"/>
        <v>0</v>
      </c>
      <c r="DK156" s="3">
        <f t="shared" si="91"/>
        <v>0</v>
      </c>
      <c r="DL156" s="3">
        <f t="shared" si="91"/>
        <v>0</v>
      </c>
      <c r="DM156" s="3">
        <f t="shared" si="91"/>
        <v>0</v>
      </c>
      <c r="DN156" s="3">
        <f t="shared" si="91"/>
        <v>0</v>
      </c>
      <c r="DO156" s="3">
        <f t="shared" si="91"/>
        <v>0</v>
      </c>
      <c r="DP156" s="3">
        <f t="shared" si="91"/>
        <v>0</v>
      </c>
      <c r="DQ156" s="3">
        <f t="shared" si="91"/>
        <v>0</v>
      </c>
      <c r="DR156" s="3">
        <f t="shared" si="91"/>
        <v>0</v>
      </c>
      <c r="DS156" s="3">
        <f t="shared" si="91"/>
        <v>0</v>
      </c>
      <c r="DT156" s="3">
        <f t="shared" si="91"/>
        <v>0</v>
      </c>
      <c r="DU156" s="3">
        <f t="shared" si="91"/>
        <v>0</v>
      </c>
      <c r="DV156" s="3">
        <f t="shared" si="91"/>
        <v>0</v>
      </c>
      <c r="DW156" s="3">
        <f t="shared" si="91"/>
        <v>0</v>
      </c>
      <c r="DX156" s="3">
        <f t="shared" si="91"/>
        <v>0</v>
      </c>
      <c r="DY156" s="3">
        <f t="shared" si="91"/>
        <v>0</v>
      </c>
      <c r="DZ156" s="3">
        <f t="shared" si="91"/>
        <v>0</v>
      </c>
      <c r="EA156" s="3">
        <f t="shared" si="91"/>
        <v>0</v>
      </c>
      <c r="EB156" s="3">
        <f t="shared" si="91"/>
        <v>0</v>
      </c>
      <c r="EC156" s="3">
        <f t="shared" si="91"/>
        <v>0</v>
      </c>
      <c r="ED156" s="3">
        <f t="shared" si="91"/>
        <v>0</v>
      </c>
      <c r="EE156" s="3">
        <f t="shared" si="91"/>
        <v>0</v>
      </c>
      <c r="EF156" s="3">
        <f t="shared" si="91"/>
        <v>0</v>
      </c>
      <c r="EG156" s="3">
        <f t="shared" si="91"/>
        <v>0</v>
      </c>
      <c r="EH156" s="3">
        <f t="shared" si="91"/>
        <v>0</v>
      </c>
      <c r="EI156" s="3">
        <f t="shared" si="91"/>
        <v>0</v>
      </c>
      <c r="EJ156" s="3">
        <f t="shared" si="91"/>
        <v>0</v>
      </c>
      <c r="EK156" s="3">
        <f t="shared" si="91"/>
        <v>0</v>
      </c>
      <c r="EL156" s="3">
        <f t="shared" si="91"/>
        <v>0</v>
      </c>
      <c r="EM156" s="3">
        <f t="shared" ref="EM156:FR156" si="92">EM260</f>
        <v>0</v>
      </c>
      <c r="EN156" s="3">
        <f t="shared" si="92"/>
        <v>0</v>
      </c>
      <c r="EO156" s="3">
        <f t="shared" si="92"/>
        <v>0</v>
      </c>
      <c r="EP156" s="3">
        <f t="shared" si="92"/>
        <v>0</v>
      </c>
      <c r="EQ156" s="3">
        <f t="shared" si="92"/>
        <v>0</v>
      </c>
      <c r="ER156" s="3">
        <f t="shared" si="92"/>
        <v>0</v>
      </c>
      <c r="ES156" s="3">
        <f t="shared" si="92"/>
        <v>0</v>
      </c>
      <c r="ET156" s="3">
        <f t="shared" si="92"/>
        <v>0</v>
      </c>
      <c r="EU156" s="3">
        <f t="shared" si="92"/>
        <v>0</v>
      </c>
      <c r="EV156" s="3">
        <f t="shared" si="92"/>
        <v>0</v>
      </c>
      <c r="EW156" s="3">
        <f t="shared" si="92"/>
        <v>0</v>
      </c>
      <c r="EX156" s="3">
        <f t="shared" si="92"/>
        <v>0</v>
      </c>
      <c r="EY156" s="3">
        <f t="shared" si="92"/>
        <v>0</v>
      </c>
      <c r="EZ156" s="3">
        <f t="shared" si="92"/>
        <v>0</v>
      </c>
      <c r="FA156" s="3">
        <f t="shared" si="92"/>
        <v>0</v>
      </c>
      <c r="FB156" s="3">
        <f t="shared" si="92"/>
        <v>0</v>
      </c>
      <c r="FC156" s="3">
        <f t="shared" si="92"/>
        <v>0</v>
      </c>
      <c r="FD156" s="3">
        <f t="shared" si="92"/>
        <v>0</v>
      </c>
      <c r="FE156" s="3">
        <f t="shared" si="92"/>
        <v>0</v>
      </c>
      <c r="FF156" s="3">
        <f t="shared" si="92"/>
        <v>0</v>
      </c>
      <c r="FG156" s="3">
        <f t="shared" si="92"/>
        <v>0</v>
      </c>
      <c r="FH156" s="3">
        <f t="shared" si="92"/>
        <v>0</v>
      </c>
      <c r="FI156" s="3">
        <f t="shared" si="92"/>
        <v>0</v>
      </c>
      <c r="FJ156" s="3">
        <f t="shared" si="92"/>
        <v>0</v>
      </c>
      <c r="FK156" s="3">
        <f t="shared" si="92"/>
        <v>0</v>
      </c>
      <c r="FL156" s="3">
        <f t="shared" si="92"/>
        <v>0</v>
      </c>
      <c r="FM156" s="3">
        <f t="shared" si="92"/>
        <v>0</v>
      </c>
      <c r="FN156" s="3">
        <f t="shared" si="92"/>
        <v>0</v>
      </c>
      <c r="FO156" s="3">
        <f t="shared" si="92"/>
        <v>0</v>
      </c>
      <c r="FP156" s="3">
        <f t="shared" si="92"/>
        <v>0</v>
      </c>
      <c r="FQ156" s="3">
        <f t="shared" si="92"/>
        <v>0</v>
      </c>
      <c r="FR156" s="3">
        <f t="shared" si="92"/>
        <v>0</v>
      </c>
      <c r="FS156" s="3">
        <f t="shared" ref="FS156:GX156" si="93">FS260</f>
        <v>0</v>
      </c>
      <c r="FT156" s="3">
        <f t="shared" si="93"/>
        <v>0</v>
      </c>
      <c r="FU156" s="3">
        <f t="shared" si="93"/>
        <v>0</v>
      </c>
      <c r="FV156" s="3">
        <f t="shared" si="93"/>
        <v>0</v>
      </c>
      <c r="FW156" s="3">
        <f t="shared" si="93"/>
        <v>0</v>
      </c>
      <c r="FX156" s="3">
        <f t="shared" si="93"/>
        <v>0</v>
      </c>
      <c r="FY156" s="3">
        <f t="shared" si="93"/>
        <v>0</v>
      </c>
      <c r="FZ156" s="3">
        <f t="shared" si="93"/>
        <v>0</v>
      </c>
      <c r="GA156" s="3">
        <f t="shared" si="93"/>
        <v>0</v>
      </c>
      <c r="GB156" s="3">
        <f t="shared" si="93"/>
        <v>0</v>
      </c>
      <c r="GC156" s="3">
        <f t="shared" si="93"/>
        <v>0</v>
      </c>
      <c r="GD156" s="3">
        <f t="shared" si="93"/>
        <v>0</v>
      </c>
      <c r="GE156" s="3">
        <f t="shared" si="93"/>
        <v>0</v>
      </c>
      <c r="GF156" s="3">
        <f t="shared" si="93"/>
        <v>0</v>
      </c>
      <c r="GG156" s="3">
        <f t="shared" si="93"/>
        <v>0</v>
      </c>
      <c r="GH156" s="3">
        <f t="shared" si="93"/>
        <v>0</v>
      </c>
      <c r="GI156" s="3">
        <f t="shared" si="93"/>
        <v>0</v>
      </c>
      <c r="GJ156" s="3">
        <f t="shared" si="93"/>
        <v>0</v>
      </c>
      <c r="GK156" s="3">
        <f t="shared" si="93"/>
        <v>0</v>
      </c>
      <c r="GL156" s="3">
        <f t="shared" si="93"/>
        <v>0</v>
      </c>
      <c r="GM156" s="3">
        <f t="shared" si="93"/>
        <v>0</v>
      </c>
      <c r="GN156" s="3">
        <f t="shared" si="93"/>
        <v>0</v>
      </c>
      <c r="GO156" s="3">
        <f t="shared" si="93"/>
        <v>0</v>
      </c>
      <c r="GP156" s="3">
        <f t="shared" si="93"/>
        <v>0</v>
      </c>
      <c r="GQ156" s="3">
        <f t="shared" si="93"/>
        <v>0</v>
      </c>
      <c r="GR156" s="3">
        <f t="shared" si="93"/>
        <v>0</v>
      </c>
      <c r="GS156" s="3">
        <f t="shared" si="93"/>
        <v>0</v>
      </c>
      <c r="GT156" s="3">
        <f t="shared" si="93"/>
        <v>0</v>
      </c>
      <c r="GU156" s="3">
        <f t="shared" si="93"/>
        <v>0</v>
      </c>
      <c r="GV156" s="3">
        <f t="shared" si="93"/>
        <v>0</v>
      </c>
      <c r="GW156" s="3">
        <f t="shared" si="93"/>
        <v>0</v>
      </c>
      <c r="GX156" s="3">
        <f t="shared" si="93"/>
        <v>0</v>
      </c>
    </row>
    <row r="158" spans="1:206" x14ac:dyDescent="0.2">
      <c r="A158" s="1">
        <v>5</v>
      </c>
      <c r="B158" s="1">
        <v>1</v>
      </c>
      <c r="C158" s="1"/>
      <c r="D158" s="1">
        <f>ROW(A165)</f>
        <v>165</v>
      </c>
      <c r="E158" s="1"/>
      <c r="F158" s="1" t="s">
        <v>14</v>
      </c>
      <c r="G158" s="1" t="s">
        <v>15</v>
      </c>
      <c r="H158" s="1" t="s">
        <v>3</v>
      </c>
      <c r="I158" s="1">
        <v>0</v>
      </c>
      <c r="J158" s="1"/>
      <c r="K158" s="1">
        <v>0</v>
      </c>
      <c r="L158" s="1"/>
      <c r="M158" s="1"/>
      <c r="N158" s="1"/>
      <c r="O158" s="1"/>
      <c r="P158" s="1"/>
      <c r="Q158" s="1"/>
      <c r="R158" s="1"/>
      <c r="S158" s="1"/>
      <c r="T158" s="1"/>
      <c r="U158" s="1" t="s">
        <v>3</v>
      </c>
      <c r="V158" s="1">
        <v>0</v>
      </c>
      <c r="W158" s="1"/>
      <c r="X158" s="1"/>
      <c r="Y158" s="1"/>
      <c r="Z158" s="1"/>
      <c r="AA158" s="1"/>
      <c r="AB158" s="1" t="s">
        <v>3</v>
      </c>
      <c r="AC158" s="1" t="s">
        <v>3</v>
      </c>
      <c r="AD158" s="1" t="s">
        <v>3</v>
      </c>
      <c r="AE158" s="1" t="s">
        <v>3</v>
      </c>
      <c r="AF158" s="1" t="s">
        <v>3</v>
      </c>
      <c r="AG158" s="1" t="s">
        <v>3</v>
      </c>
      <c r="AH158" s="1"/>
      <c r="AI158" s="1"/>
      <c r="AJ158" s="1"/>
      <c r="AK158" s="1"/>
      <c r="AL158" s="1"/>
      <c r="AM158" s="1"/>
      <c r="AN158" s="1"/>
      <c r="AO158" s="1"/>
      <c r="AP158" s="1" t="s">
        <v>3</v>
      </c>
      <c r="AQ158" s="1" t="s">
        <v>3</v>
      </c>
      <c r="AR158" s="1" t="s">
        <v>3</v>
      </c>
      <c r="AS158" s="1"/>
      <c r="AT158" s="1"/>
      <c r="AU158" s="1"/>
      <c r="AV158" s="1"/>
      <c r="AW158" s="1"/>
      <c r="AX158" s="1"/>
      <c r="AY158" s="1"/>
      <c r="AZ158" s="1" t="s">
        <v>3</v>
      </c>
      <c r="BA158" s="1"/>
      <c r="BB158" s="1" t="s">
        <v>3</v>
      </c>
      <c r="BC158" s="1" t="s">
        <v>3</v>
      </c>
      <c r="BD158" s="1" t="s">
        <v>3</v>
      </c>
      <c r="BE158" s="1" t="s">
        <v>3</v>
      </c>
      <c r="BF158" s="1" t="s">
        <v>3</v>
      </c>
      <c r="BG158" s="1" t="s">
        <v>3</v>
      </c>
      <c r="BH158" s="1" t="s">
        <v>3</v>
      </c>
      <c r="BI158" s="1" t="s">
        <v>3</v>
      </c>
      <c r="BJ158" s="1" t="s">
        <v>3</v>
      </c>
      <c r="BK158" s="1" t="s">
        <v>3</v>
      </c>
      <c r="BL158" s="1" t="s">
        <v>3</v>
      </c>
      <c r="BM158" s="1" t="s">
        <v>3</v>
      </c>
      <c r="BN158" s="1" t="s">
        <v>3</v>
      </c>
      <c r="BO158" s="1" t="s">
        <v>3</v>
      </c>
      <c r="BP158" s="1" t="s">
        <v>3</v>
      </c>
      <c r="BQ158" s="1"/>
      <c r="BR158" s="1"/>
      <c r="BS158" s="1"/>
      <c r="BT158" s="1"/>
      <c r="BU158" s="1"/>
      <c r="BV158" s="1"/>
      <c r="BW158" s="1"/>
      <c r="BX158" s="1">
        <v>0</v>
      </c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>
        <v>0</v>
      </c>
    </row>
    <row r="160" spans="1:206" x14ac:dyDescent="0.2">
      <c r="A160" s="2">
        <v>52</v>
      </c>
      <c r="B160" s="2">
        <f t="shared" ref="B160:G160" si="94">B165</f>
        <v>1</v>
      </c>
      <c r="C160" s="2">
        <f t="shared" si="94"/>
        <v>5</v>
      </c>
      <c r="D160" s="2">
        <f t="shared" si="94"/>
        <v>158</v>
      </c>
      <c r="E160" s="2">
        <f t="shared" si="94"/>
        <v>0</v>
      </c>
      <c r="F160" s="2" t="str">
        <f t="shared" si="94"/>
        <v>Новый подраздел</v>
      </c>
      <c r="G160" s="2" t="str">
        <f t="shared" si="94"/>
        <v>Демонтажные работы</v>
      </c>
      <c r="H160" s="2"/>
      <c r="I160" s="2"/>
      <c r="J160" s="2"/>
      <c r="K160" s="2"/>
      <c r="L160" s="2"/>
      <c r="M160" s="2"/>
      <c r="N160" s="2"/>
      <c r="O160" s="2">
        <f t="shared" ref="O160:AT160" si="95">O165</f>
        <v>10155.040000000001</v>
      </c>
      <c r="P160" s="2">
        <f t="shared" si="95"/>
        <v>0</v>
      </c>
      <c r="Q160" s="2">
        <f t="shared" si="95"/>
        <v>259.16000000000003</v>
      </c>
      <c r="R160" s="2">
        <f t="shared" si="95"/>
        <v>11.29</v>
      </c>
      <c r="S160" s="2">
        <f t="shared" si="95"/>
        <v>9895.8799999999992</v>
      </c>
      <c r="T160" s="2">
        <f t="shared" si="95"/>
        <v>0</v>
      </c>
      <c r="U160" s="2">
        <f t="shared" si="95"/>
        <v>38.456000000000003</v>
      </c>
      <c r="V160" s="2">
        <f t="shared" si="95"/>
        <v>0</v>
      </c>
      <c r="W160" s="2">
        <f t="shared" si="95"/>
        <v>0</v>
      </c>
      <c r="X160" s="2">
        <f t="shared" si="95"/>
        <v>6927.12</v>
      </c>
      <c r="Y160" s="2">
        <f t="shared" si="95"/>
        <v>989.59</v>
      </c>
      <c r="Z160" s="2">
        <f t="shared" si="95"/>
        <v>0</v>
      </c>
      <c r="AA160" s="2">
        <f t="shared" si="95"/>
        <v>0</v>
      </c>
      <c r="AB160" s="2">
        <f t="shared" si="95"/>
        <v>10155.040000000001</v>
      </c>
      <c r="AC160" s="2">
        <f t="shared" si="95"/>
        <v>0</v>
      </c>
      <c r="AD160" s="2">
        <f t="shared" si="95"/>
        <v>259.16000000000003</v>
      </c>
      <c r="AE160" s="2">
        <f t="shared" si="95"/>
        <v>11.29</v>
      </c>
      <c r="AF160" s="2">
        <f t="shared" si="95"/>
        <v>9895.8799999999992</v>
      </c>
      <c r="AG160" s="2">
        <f t="shared" si="95"/>
        <v>0</v>
      </c>
      <c r="AH160" s="2">
        <f t="shared" si="95"/>
        <v>38.456000000000003</v>
      </c>
      <c r="AI160" s="2">
        <f t="shared" si="95"/>
        <v>0</v>
      </c>
      <c r="AJ160" s="2">
        <f t="shared" si="95"/>
        <v>0</v>
      </c>
      <c r="AK160" s="2">
        <f t="shared" si="95"/>
        <v>6927.12</v>
      </c>
      <c r="AL160" s="2">
        <f t="shared" si="95"/>
        <v>989.59</v>
      </c>
      <c r="AM160" s="2">
        <f t="shared" si="95"/>
        <v>0</v>
      </c>
      <c r="AN160" s="2">
        <f t="shared" si="95"/>
        <v>0</v>
      </c>
      <c r="AO160" s="2">
        <f t="shared" si="95"/>
        <v>0</v>
      </c>
      <c r="AP160" s="2">
        <f t="shared" si="95"/>
        <v>0</v>
      </c>
      <c r="AQ160" s="2">
        <f t="shared" si="95"/>
        <v>0</v>
      </c>
      <c r="AR160" s="2">
        <f t="shared" si="95"/>
        <v>18083.939999999999</v>
      </c>
      <c r="AS160" s="2">
        <f t="shared" si="95"/>
        <v>0</v>
      </c>
      <c r="AT160" s="2">
        <f t="shared" si="95"/>
        <v>0</v>
      </c>
      <c r="AU160" s="2">
        <f t="shared" ref="AU160:BZ160" si="96">AU165</f>
        <v>18083.939999999999</v>
      </c>
      <c r="AV160" s="2">
        <f t="shared" si="96"/>
        <v>0</v>
      </c>
      <c r="AW160" s="2">
        <f t="shared" si="96"/>
        <v>0</v>
      </c>
      <c r="AX160" s="2">
        <f t="shared" si="96"/>
        <v>0</v>
      </c>
      <c r="AY160" s="2">
        <f t="shared" si="96"/>
        <v>0</v>
      </c>
      <c r="AZ160" s="2">
        <f t="shared" si="96"/>
        <v>0</v>
      </c>
      <c r="BA160" s="2">
        <f t="shared" si="96"/>
        <v>0</v>
      </c>
      <c r="BB160" s="2">
        <f t="shared" si="96"/>
        <v>0</v>
      </c>
      <c r="BC160" s="2">
        <f t="shared" si="96"/>
        <v>0</v>
      </c>
      <c r="BD160" s="2">
        <f t="shared" si="96"/>
        <v>0</v>
      </c>
      <c r="BE160" s="2">
        <f t="shared" si="96"/>
        <v>0</v>
      </c>
      <c r="BF160" s="2">
        <f t="shared" si="96"/>
        <v>0</v>
      </c>
      <c r="BG160" s="2">
        <f t="shared" si="96"/>
        <v>0</v>
      </c>
      <c r="BH160" s="2">
        <f t="shared" si="96"/>
        <v>0</v>
      </c>
      <c r="BI160" s="2">
        <f t="shared" si="96"/>
        <v>0</v>
      </c>
      <c r="BJ160" s="2">
        <f t="shared" si="96"/>
        <v>0</v>
      </c>
      <c r="BK160" s="2">
        <f t="shared" si="96"/>
        <v>0</v>
      </c>
      <c r="BL160" s="2">
        <f t="shared" si="96"/>
        <v>0</v>
      </c>
      <c r="BM160" s="2">
        <f t="shared" si="96"/>
        <v>0</v>
      </c>
      <c r="BN160" s="2">
        <f t="shared" si="96"/>
        <v>0</v>
      </c>
      <c r="BO160" s="2">
        <f t="shared" si="96"/>
        <v>0</v>
      </c>
      <c r="BP160" s="2">
        <f t="shared" si="96"/>
        <v>0</v>
      </c>
      <c r="BQ160" s="2">
        <f t="shared" si="96"/>
        <v>0</v>
      </c>
      <c r="BR160" s="2">
        <f t="shared" si="96"/>
        <v>0</v>
      </c>
      <c r="BS160" s="2">
        <f t="shared" si="96"/>
        <v>0</v>
      </c>
      <c r="BT160" s="2">
        <f t="shared" si="96"/>
        <v>0</v>
      </c>
      <c r="BU160" s="2">
        <f t="shared" si="96"/>
        <v>0</v>
      </c>
      <c r="BV160" s="2">
        <f t="shared" si="96"/>
        <v>0</v>
      </c>
      <c r="BW160" s="2">
        <f t="shared" si="96"/>
        <v>0</v>
      </c>
      <c r="BX160" s="2">
        <f t="shared" si="96"/>
        <v>0</v>
      </c>
      <c r="BY160" s="2">
        <f t="shared" si="96"/>
        <v>0</v>
      </c>
      <c r="BZ160" s="2">
        <f t="shared" si="96"/>
        <v>0</v>
      </c>
      <c r="CA160" s="2">
        <f t="shared" ref="CA160:DF160" si="97">CA165</f>
        <v>18083.939999999999</v>
      </c>
      <c r="CB160" s="2">
        <f t="shared" si="97"/>
        <v>0</v>
      </c>
      <c r="CC160" s="2">
        <f t="shared" si="97"/>
        <v>0</v>
      </c>
      <c r="CD160" s="2">
        <f t="shared" si="97"/>
        <v>18083.939999999999</v>
      </c>
      <c r="CE160" s="2">
        <f t="shared" si="97"/>
        <v>0</v>
      </c>
      <c r="CF160" s="2">
        <f t="shared" si="97"/>
        <v>0</v>
      </c>
      <c r="CG160" s="2">
        <f t="shared" si="97"/>
        <v>0</v>
      </c>
      <c r="CH160" s="2">
        <f t="shared" si="97"/>
        <v>0</v>
      </c>
      <c r="CI160" s="2">
        <f t="shared" si="97"/>
        <v>0</v>
      </c>
      <c r="CJ160" s="2">
        <f t="shared" si="97"/>
        <v>0</v>
      </c>
      <c r="CK160" s="2">
        <f t="shared" si="97"/>
        <v>0</v>
      </c>
      <c r="CL160" s="2">
        <f t="shared" si="97"/>
        <v>0</v>
      </c>
      <c r="CM160" s="2">
        <f t="shared" si="97"/>
        <v>0</v>
      </c>
      <c r="CN160" s="2">
        <f t="shared" si="97"/>
        <v>0</v>
      </c>
      <c r="CO160" s="2">
        <f t="shared" si="97"/>
        <v>0</v>
      </c>
      <c r="CP160" s="2">
        <f t="shared" si="97"/>
        <v>0</v>
      </c>
      <c r="CQ160" s="2">
        <f t="shared" si="97"/>
        <v>0</v>
      </c>
      <c r="CR160" s="2">
        <f t="shared" si="97"/>
        <v>0</v>
      </c>
      <c r="CS160" s="2">
        <f t="shared" si="97"/>
        <v>0</v>
      </c>
      <c r="CT160" s="2">
        <f t="shared" si="97"/>
        <v>0</v>
      </c>
      <c r="CU160" s="2">
        <f t="shared" si="97"/>
        <v>0</v>
      </c>
      <c r="CV160" s="2">
        <f t="shared" si="97"/>
        <v>0</v>
      </c>
      <c r="CW160" s="2">
        <f t="shared" si="97"/>
        <v>0</v>
      </c>
      <c r="CX160" s="2">
        <f t="shared" si="97"/>
        <v>0</v>
      </c>
      <c r="CY160" s="2">
        <f t="shared" si="97"/>
        <v>0</v>
      </c>
      <c r="CZ160" s="2">
        <f t="shared" si="97"/>
        <v>0</v>
      </c>
      <c r="DA160" s="2">
        <f t="shared" si="97"/>
        <v>0</v>
      </c>
      <c r="DB160" s="2">
        <f t="shared" si="97"/>
        <v>0</v>
      </c>
      <c r="DC160" s="2">
        <f t="shared" si="97"/>
        <v>0</v>
      </c>
      <c r="DD160" s="2">
        <f t="shared" si="97"/>
        <v>0</v>
      </c>
      <c r="DE160" s="2">
        <f t="shared" si="97"/>
        <v>0</v>
      </c>
      <c r="DF160" s="2">
        <f t="shared" si="97"/>
        <v>0</v>
      </c>
      <c r="DG160" s="3">
        <f t="shared" ref="DG160:EL160" si="98">DG165</f>
        <v>0</v>
      </c>
      <c r="DH160" s="3">
        <f t="shared" si="98"/>
        <v>0</v>
      </c>
      <c r="DI160" s="3">
        <f t="shared" si="98"/>
        <v>0</v>
      </c>
      <c r="DJ160" s="3">
        <f t="shared" si="98"/>
        <v>0</v>
      </c>
      <c r="DK160" s="3">
        <f t="shared" si="98"/>
        <v>0</v>
      </c>
      <c r="DL160" s="3">
        <f t="shared" si="98"/>
        <v>0</v>
      </c>
      <c r="DM160" s="3">
        <f t="shared" si="98"/>
        <v>0</v>
      </c>
      <c r="DN160" s="3">
        <f t="shared" si="98"/>
        <v>0</v>
      </c>
      <c r="DO160" s="3">
        <f t="shared" si="98"/>
        <v>0</v>
      </c>
      <c r="DP160" s="3">
        <f t="shared" si="98"/>
        <v>0</v>
      </c>
      <c r="DQ160" s="3">
        <f t="shared" si="98"/>
        <v>0</v>
      </c>
      <c r="DR160" s="3">
        <f t="shared" si="98"/>
        <v>0</v>
      </c>
      <c r="DS160" s="3">
        <f t="shared" si="98"/>
        <v>0</v>
      </c>
      <c r="DT160" s="3">
        <f t="shared" si="98"/>
        <v>0</v>
      </c>
      <c r="DU160" s="3">
        <f t="shared" si="98"/>
        <v>0</v>
      </c>
      <c r="DV160" s="3">
        <f t="shared" si="98"/>
        <v>0</v>
      </c>
      <c r="DW160" s="3">
        <f t="shared" si="98"/>
        <v>0</v>
      </c>
      <c r="DX160" s="3">
        <f t="shared" si="98"/>
        <v>0</v>
      </c>
      <c r="DY160" s="3">
        <f t="shared" si="98"/>
        <v>0</v>
      </c>
      <c r="DZ160" s="3">
        <f t="shared" si="98"/>
        <v>0</v>
      </c>
      <c r="EA160" s="3">
        <f t="shared" si="98"/>
        <v>0</v>
      </c>
      <c r="EB160" s="3">
        <f t="shared" si="98"/>
        <v>0</v>
      </c>
      <c r="EC160" s="3">
        <f t="shared" si="98"/>
        <v>0</v>
      </c>
      <c r="ED160" s="3">
        <f t="shared" si="98"/>
        <v>0</v>
      </c>
      <c r="EE160" s="3">
        <f t="shared" si="98"/>
        <v>0</v>
      </c>
      <c r="EF160" s="3">
        <f t="shared" si="98"/>
        <v>0</v>
      </c>
      <c r="EG160" s="3">
        <f t="shared" si="98"/>
        <v>0</v>
      </c>
      <c r="EH160" s="3">
        <f t="shared" si="98"/>
        <v>0</v>
      </c>
      <c r="EI160" s="3">
        <f t="shared" si="98"/>
        <v>0</v>
      </c>
      <c r="EJ160" s="3">
        <f t="shared" si="98"/>
        <v>0</v>
      </c>
      <c r="EK160" s="3">
        <f t="shared" si="98"/>
        <v>0</v>
      </c>
      <c r="EL160" s="3">
        <f t="shared" si="98"/>
        <v>0</v>
      </c>
      <c r="EM160" s="3">
        <f t="shared" ref="EM160:FR160" si="99">EM165</f>
        <v>0</v>
      </c>
      <c r="EN160" s="3">
        <f t="shared" si="99"/>
        <v>0</v>
      </c>
      <c r="EO160" s="3">
        <f t="shared" si="99"/>
        <v>0</v>
      </c>
      <c r="EP160" s="3">
        <f t="shared" si="99"/>
        <v>0</v>
      </c>
      <c r="EQ160" s="3">
        <f t="shared" si="99"/>
        <v>0</v>
      </c>
      <c r="ER160" s="3">
        <f t="shared" si="99"/>
        <v>0</v>
      </c>
      <c r="ES160" s="3">
        <f t="shared" si="99"/>
        <v>0</v>
      </c>
      <c r="ET160" s="3">
        <f t="shared" si="99"/>
        <v>0</v>
      </c>
      <c r="EU160" s="3">
        <f t="shared" si="99"/>
        <v>0</v>
      </c>
      <c r="EV160" s="3">
        <f t="shared" si="99"/>
        <v>0</v>
      </c>
      <c r="EW160" s="3">
        <f t="shared" si="99"/>
        <v>0</v>
      </c>
      <c r="EX160" s="3">
        <f t="shared" si="99"/>
        <v>0</v>
      </c>
      <c r="EY160" s="3">
        <f t="shared" si="99"/>
        <v>0</v>
      </c>
      <c r="EZ160" s="3">
        <f t="shared" si="99"/>
        <v>0</v>
      </c>
      <c r="FA160" s="3">
        <f t="shared" si="99"/>
        <v>0</v>
      </c>
      <c r="FB160" s="3">
        <f t="shared" si="99"/>
        <v>0</v>
      </c>
      <c r="FC160" s="3">
        <f t="shared" si="99"/>
        <v>0</v>
      </c>
      <c r="FD160" s="3">
        <f t="shared" si="99"/>
        <v>0</v>
      </c>
      <c r="FE160" s="3">
        <f t="shared" si="99"/>
        <v>0</v>
      </c>
      <c r="FF160" s="3">
        <f t="shared" si="99"/>
        <v>0</v>
      </c>
      <c r="FG160" s="3">
        <f t="shared" si="99"/>
        <v>0</v>
      </c>
      <c r="FH160" s="3">
        <f t="shared" si="99"/>
        <v>0</v>
      </c>
      <c r="FI160" s="3">
        <f t="shared" si="99"/>
        <v>0</v>
      </c>
      <c r="FJ160" s="3">
        <f t="shared" si="99"/>
        <v>0</v>
      </c>
      <c r="FK160" s="3">
        <f t="shared" si="99"/>
        <v>0</v>
      </c>
      <c r="FL160" s="3">
        <f t="shared" si="99"/>
        <v>0</v>
      </c>
      <c r="FM160" s="3">
        <f t="shared" si="99"/>
        <v>0</v>
      </c>
      <c r="FN160" s="3">
        <f t="shared" si="99"/>
        <v>0</v>
      </c>
      <c r="FO160" s="3">
        <f t="shared" si="99"/>
        <v>0</v>
      </c>
      <c r="FP160" s="3">
        <f t="shared" si="99"/>
        <v>0</v>
      </c>
      <c r="FQ160" s="3">
        <f t="shared" si="99"/>
        <v>0</v>
      </c>
      <c r="FR160" s="3">
        <f t="shared" si="99"/>
        <v>0</v>
      </c>
      <c r="FS160" s="3">
        <f t="shared" ref="FS160:GX160" si="100">FS165</f>
        <v>0</v>
      </c>
      <c r="FT160" s="3">
        <f t="shared" si="100"/>
        <v>0</v>
      </c>
      <c r="FU160" s="3">
        <f t="shared" si="100"/>
        <v>0</v>
      </c>
      <c r="FV160" s="3">
        <f t="shared" si="100"/>
        <v>0</v>
      </c>
      <c r="FW160" s="3">
        <f t="shared" si="100"/>
        <v>0</v>
      </c>
      <c r="FX160" s="3">
        <f t="shared" si="100"/>
        <v>0</v>
      </c>
      <c r="FY160" s="3">
        <f t="shared" si="100"/>
        <v>0</v>
      </c>
      <c r="FZ160" s="3">
        <f t="shared" si="100"/>
        <v>0</v>
      </c>
      <c r="GA160" s="3">
        <f t="shared" si="100"/>
        <v>0</v>
      </c>
      <c r="GB160" s="3">
        <f t="shared" si="100"/>
        <v>0</v>
      </c>
      <c r="GC160" s="3">
        <f t="shared" si="100"/>
        <v>0</v>
      </c>
      <c r="GD160" s="3">
        <f t="shared" si="100"/>
        <v>0</v>
      </c>
      <c r="GE160" s="3">
        <f t="shared" si="100"/>
        <v>0</v>
      </c>
      <c r="GF160" s="3">
        <f t="shared" si="100"/>
        <v>0</v>
      </c>
      <c r="GG160" s="3">
        <f t="shared" si="100"/>
        <v>0</v>
      </c>
      <c r="GH160" s="3">
        <f t="shared" si="100"/>
        <v>0</v>
      </c>
      <c r="GI160" s="3">
        <f t="shared" si="100"/>
        <v>0</v>
      </c>
      <c r="GJ160" s="3">
        <f t="shared" si="100"/>
        <v>0</v>
      </c>
      <c r="GK160" s="3">
        <f t="shared" si="100"/>
        <v>0</v>
      </c>
      <c r="GL160" s="3">
        <f t="shared" si="100"/>
        <v>0</v>
      </c>
      <c r="GM160" s="3">
        <f t="shared" si="100"/>
        <v>0</v>
      </c>
      <c r="GN160" s="3">
        <f t="shared" si="100"/>
        <v>0</v>
      </c>
      <c r="GO160" s="3">
        <f t="shared" si="100"/>
        <v>0</v>
      </c>
      <c r="GP160" s="3">
        <f t="shared" si="100"/>
        <v>0</v>
      </c>
      <c r="GQ160" s="3">
        <f t="shared" si="100"/>
        <v>0</v>
      </c>
      <c r="GR160" s="3">
        <f t="shared" si="100"/>
        <v>0</v>
      </c>
      <c r="GS160" s="3">
        <f t="shared" si="100"/>
        <v>0</v>
      </c>
      <c r="GT160" s="3">
        <f t="shared" si="100"/>
        <v>0</v>
      </c>
      <c r="GU160" s="3">
        <f t="shared" si="100"/>
        <v>0</v>
      </c>
      <c r="GV160" s="3">
        <f t="shared" si="100"/>
        <v>0</v>
      </c>
      <c r="GW160" s="3">
        <f t="shared" si="100"/>
        <v>0</v>
      </c>
      <c r="GX160" s="3">
        <f t="shared" si="100"/>
        <v>0</v>
      </c>
    </row>
    <row r="162" spans="1:245" x14ac:dyDescent="0.2">
      <c r="A162">
        <v>17</v>
      </c>
      <c r="B162">
        <v>1</v>
      </c>
      <c r="C162">
        <f>ROW(SmtRes!A116)</f>
        <v>116</v>
      </c>
      <c r="D162">
        <f>ROW(EtalonRes!A113)</f>
        <v>113</v>
      </c>
      <c r="E162" t="s">
        <v>183</v>
      </c>
      <c r="F162" t="s">
        <v>170</v>
      </c>
      <c r="G162" t="s">
        <v>171</v>
      </c>
      <c r="H162" t="s">
        <v>155</v>
      </c>
      <c r="I162">
        <v>2.2000000000000002</v>
      </c>
      <c r="J162">
        <v>0</v>
      </c>
      <c r="O162">
        <f>ROUND(CP162,2)</f>
        <v>10155.040000000001</v>
      </c>
      <c r="P162">
        <f>ROUND(CQ162*I162,2)</f>
        <v>0</v>
      </c>
      <c r="Q162">
        <f>ROUND(CR162*I162,2)</f>
        <v>259.16000000000003</v>
      </c>
      <c r="R162">
        <f>ROUND(CS162*I162,2)</f>
        <v>11.29</v>
      </c>
      <c r="S162">
        <f>ROUND(CT162*I162,2)</f>
        <v>9895.8799999999992</v>
      </c>
      <c r="T162">
        <f>ROUND(CU162*I162,2)</f>
        <v>0</v>
      </c>
      <c r="U162">
        <f>CV162*I162</f>
        <v>38.456000000000003</v>
      </c>
      <c r="V162">
        <f>CW162*I162</f>
        <v>0</v>
      </c>
      <c r="W162">
        <f>ROUND(CX162*I162,2)</f>
        <v>0</v>
      </c>
      <c r="X162">
        <f>ROUND(CY162,2)</f>
        <v>6927.12</v>
      </c>
      <c r="Y162">
        <f>ROUND(CZ162,2)</f>
        <v>989.59</v>
      </c>
      <c r="AA162">
        <v>38799519</v>
      </c>
      <c r="AB162">
        <f>ROUND((AC162+AD162+AF162),6)</f>
        <v>4615.9279999999999</v>
      </c>
      <c r="AC162">
        <f>ROUND(((ES162*0)),6)</f>
        <v>0</v>
      </c>
      <c r="AD162">
        <f>ROUND(((((ET162*0.2))-((EU162*0.2)))+AE162),6)</f>
        <v>117.8</v>
      </c>
      <c r="AE162">
        <f>ROUND(((EU162*0.2)),6)</f>
        <v>5.13</v>
      </c>
      <c r="AF162">
        <f>ROUND(((EV162*0.2)),6)</f>
        <v>4498.1279999999997</v>
      </c>
      <c r="AG162">
        <f>ROUND((AP162),6)</f>
        <v>0</v>
      </c>
      <c r="AH162">
        <f>((EW162*0.2))</f>
        <v>17.48</v>
      </c>
      <c r="AI162">
        <f>((EX162*0.2))</f>
        <v>0</v>
      </c>
      <c r="AJ162">
        <f>(AS162)</f>
        <v>0</v>
      </c>
      <c r="AK162">
        <v>98608.07</v>
      </c>
      <c r="AL162">
        <v>75528.429999999993</v>
      </c>
      <c r="AM162">
        <v>589</v>
      </c>
      <c r="AN162">
        <v>25.65</v>
      </c>
      <c r="AO162">
        <v>22490.639999999999</v>
      </c>
      <c r="AP162">
        <v>0</v>
      </c>
      <c r="AQ162">
        <v>87.4</v>
      </c>
      <c r="AR162">
        <v>0</v>
      </c>
      <c r="AS162">
        <v>0</v>
      </c>
      <c r="AT162">
        <v>70</v>
      </c>
      <c r="AU162">
        <v>10</v>
      </c>
      <c r="AV162">
        <v>1</v>
      </c>
      <c r="AW162">
        <v>1</v>
      </c>
      <c r="AZ162">
        <v>1</v>
      </c>
      <c r="BA162">
        <v>1</v>
      </c>
      <c r="BB162">
        <v>1</v>
      </c>
      <c r="BC162">
        <v>1</v>
      </c>
      <c r="BD162" t="s">
        <v>3</v>
      </c>
      <c r="BE162" t="s">
        <v>3</v>
      </c>
      <c r="BF162" t="s">
        <v>3</v>
      </c>
      <c r="BG162" t="s">
        <v>3</v>
      </c>
      <c r="BH162">
        <v>0</v>
      </c>
      <c r="BI162">
        <v>4</v>
      </c>
      <c r="BJ162" t="s">
        <v>172</v>
      </c>
      <c r="BM162">
        <v>0</v>
      </c>
      <c r="BN162">
        <v>0</v>
      </c>
      <c r="BO162" t="s">
        <v>3</v>
      </c>
      <c r="BP162">
        <v>0</v>
      </c>
      <c r="BQ162">
        <v>1</v>
      </c>
      <c r="BR162">
        <v>0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 t="s">
        <v>3</v>
      </c>
      <c r="BZ162">
        <v>70</v>
      </c>
      <c r="CA162">
        <v>10</v>
      </c>
      <c r="CE162">
        <v>0</v>
      </c>
      <c r="CF162">
        <v>0</v>
      </c>
      <c r="CG162">
        <v>0</v>
      </c>
      <c r="CM162">
        <v>0</v>
      </c>
      <c r="CN162" t="s">
        <v>657</v>
      </c>
      <c r="CO162">
        <v>0</v>
      </c>
      <c r="CP162">
        <f>(P162+Q162+S162)</f>
        <v>10155.039999999999</v>
      </c>
      <c r="CQ162">
        <f>(AC162*BC162*AW162)</f>
        <v>0</v>
      </c>
      <c r="CR162">
        <f>(((((ET162*0.2))*BB162-((EU162*0.2))*BS162)+AE162*BS162)*AV162)</f>
        <v>117.80000000000001</v>
      </c>
      <c r="CS162">
        <f>(AE162*BS162*AV162)</f>
        <v>5.13</v>
      </c>
      <c r="CT162">
        <f>(AF162*BA162*AV162)</f>
        <v>4498.1279999999997</v>
      </c>
      <c r="CU162">
        <f>AG162</f>
        <v>0</v>
      </c>
      <c r="CV162">
        <f>(AH162*AV162)</f>
        <v>17.48</v>
      </c>
      <c r="CW162">
        <f>AI162</f>
        <v>0</v>
      </c>
      <c r="CX162">
        <f>AJ162</f>
        <v>0</v>
      </c>
      <c r="CY162">
        <f>((S162*BZ162)/100)</f>
        <v>6927.116</v>
      </c>
      <c r="CZ162">
        <f>((S162*CA162)/100)</f>
        <v>989.58799999999985</v>
      </c>
      <c r="DC162" t="s">
        <v>3</v>
      </c>
      <c r="DD162" t="s">
        <v>21</v>
      </c>
      <c r="DE162" t="s">
        <v>22</v>
      </c>
      <c r="DF162" t="s">
        <v>22</v>
      </c>
      <c r="DG162" t="s">
        <v>22</v>
      </c>
      <c r="DH162" t="s">
        <v>3</v>
      </c>
      <c r="DI162" t="s">
        <v>22</v>
      </c>
      <c r="DJ162" t="s">
        <v>22</v>
      </c>
      <c r="DK162" t="s">
        <v>3</v>
      </c>
      <c r="DL162" t="s">
        <v>3</v>
      </c>
      <c r="DM162" t="s">
        <v>3</v>
      </c>
      <c r="DN162">
        <v>0</v>
      </c>
      <c r="DO162">
        <v>0</v>
      </c>
      <c r="DP162">
        <v>1</v>
      </c>
      <c r="DQ162">
        <v>1</v>
      </c>
      <c r="DU162">
        <v>1009</v>
      </c>
      <c r="DV162" t="s">
        <v>155</v>
      </c>
      <c r="DW162" t="s">
        <v>155</v>
      </c>
      <c r="DX162">
        <v>1000</v>
      </c>
      <c r="EE162">
        <v>38447819</v>
      </c>
      <c r="EF162">
        <v>1</v>
      </c>
      <c r="EG162" t="s">
        <v>23</v>
      </c>
      <c r="EH162">
        <v>0</v>
      </c>
      <c r="EI162" t="s">
        <v>3</v>
      </c>
      <c r="EJ162">
        <v>4</v>
      </c>
      <c r="EK162">
        <v>0</v>
      </c>
      <c r="EL162" t="s">
        <v>24</v>
      </c>
      <c r="EM162" t="s">
        <v>25</v>
      </c>
      <c r="EO162" t="s">
        <v>26</v>
      </c>
      <c r="EQ162">
        <v>0</v>
      </c>
      <c r="ER162">
        <v>98608.07</v>
      </c>
      <c r="ES162">
        <v>75528.429999999993</v>
      </c>
      <c r="ET162">
        <v>589</v>
      </c>
      <c r="EU162">
        <v>25.65</v>
      </c>
      <c r="EV162">
        <v>22490.639999999999</v>
      </c>
      <c r="EW162">
        <v>87.4</v>
      </c>
      <c r="EX162">
        <v>0</v>
      </c>
      <c r="EY162">
        <v>0</v>
      </c>
      <c r="FQ162">
        <v>0</v>
      </c>
      <c r="FR162">
        <f>ROUND(IF(AND(BH162=3,BI162=3),P162,0),2)</f>
        <v>0</v>
      </c>
      <c r="FS162">
        <v>0</v>
      </c>
      <c r="FX162">
        <v>70</v>
      </c>
      <c r="FY162">
        <v>10</v>
      </c>
      <c r="GA162" t="s">
        <v>3</v>
      </c>
      <c r="GD162">
        <v>0</v>
      </c>
      <c r="GF162">
        <v>-1542919465</v>
      </c>
      <c r="GG162">
        <v>2</v>
      </c>
      <c r="GH162">
        <v>1</v>
      </c>
      <c r="GI162">
        <v>-2</v>
      </c>
      <c r="GJ162">
        <v>0</v>
      </c>
      <c r="GK162">
        <f>ROUND(R162*(R12)/100,2)</f>
        <v>12.19</v>
      </c>
      <c r="GL162">
        <f>ROUND(IF(AND(BH162=3,BI162=3,FS162&lt;&gt;0),P162,0),2)</f>
        <v>0</v>
      </c>
      <c r="GM162">
        <f>ROUND(O162+X162+Y162+GK162,2)+GX162</f>
        <v>18083.939999999999</v>
      </c>
      <c r="GN162">
        <f>IF(OR(BI162=0,BI162=1),ROUND(O162+X162+Y162+GK162,2),0)</f>
        <v>0</v>
      </c>
      <c r="GO162">
        <f>IF(BI162=2,ROUND(O162+X162+Y162+GK162,2),0)</f>
        <v>0</v>
      </c>
      <c r="GP162">
        <f>IF(BI162=4,ROUND(O162+X162+Y162+GK162,2)+GX162,0)</f>
        <v>18083.939999999999</v>
      </c>
      <c r="GR162">
        <v>0</v>
      </c>
      <c r="GS162">
        <v>3</v>
      </c>
      <c r="GT162">
        <v>0</v>
      </c>
      <c r="GU162" t="s">
        <v>3</v>
      </c>
      <c r="GV162">
        <f>ROUND((GT162),6)</f>
        <v>0</v>
      </c>
      <c r="GW162">
        <v>1</v>
      </c>
      <c r="GX162">
        <f>ROUND(HC162*I162,2)</f>
        <v>0</v>
      </c>
      <c r="HA162">
        <v>0</v>
      </c>
      <c r="HB162">
        <v>0</v>
      </c>
      <c r="HC162">
        <f>GV162*GW162</f>
        <v>0</v>
      </c>
      <c r="HE162" t="s">
        <v>3</v>
      </c>
      <c r="HF162" t="s">
        <v>3</v>
      </c>
      <c r="IK162">
        <v>0</v>
      </c>
    </row>
    <row r="163" spans="1:245" x14ac:dyDescent="0.2">
      <c r="A163">
        <v>19</v>
      </c>
      <c r="B163">
        <v>1</v>
      </c>
      <c r="F163" t="s">
        <v>3</v>
      </c>
      <c r="G163" t="s">
        <v>184</v>
      </c>
      <c r="H163" t="s">
        <v>3</v>
      </c>
      <c r="AA163">
        <v>1</v>
      </c>
      <c r="IK163">
        <v>0</v>
      </c>
    </row>
    <row r="165" spans="1:245" x14ac:dyDescent="0.2">
      <c r="A165" s="2">
        <v>51</v>
      </c>
      <c r="B165" s="2">
        <f>B158</f>
        <v>1</v>
      </c>
      <c r="C165" s="2">
        <f>A158</f>
        <v>5</v>
      </c>
      <c r="D165" s="2">
        <f>ROW(A158)</f>
        <v>158</v>
      </c>
      <c r="E165" s="2"/>
      <c r="F165" s="2" t="str">
        <f>IF(F158&lt;&gt;"",F158,"")</f>
        <v>Новый подраздел</v>
      </c>
      <c r="G165" s="2" t="str">
        <f>IF(G158&lt;&gt;"",G158,"")</f>
        <v>Демонтажные работы</v>
      </c>
      <c r="H165" s="2">
        <v>0</v>
      </c>
      <c r="I165" s="2"/>
      <c r="J165" s="2"/>
      <c r="K165" s="2"/>
      <c r="L165" s="2"/>
      <c r="M165" s="2"/>
      <c r="N165" s="2"/>
      <c r="O165" s="2">
        <f t="shared" ref="O165:T165" si="101">ROUND(AB165,2)</f>
        <v>10155.040000000001</v>
      </c>
      <c r="P165" s="2">
        <f t="shared" si="101"/>
        <v>0</v>
      </c>
      <c r="Q165" s="2">
        <f t="shared" si="101"/>
        <v>259.16000000000003</v>
      </c>
      <c r="R165" s="2">
        <f t="shared" si="101"/>
        <v>11.29</v>
      </c>
      <c r="S165" s="2">
        <f t="shared" si="101"/>
        <v>9895.8799999999992</v>
      </c>
      <c r="T165" s="2">
        <f t="shared" si="101"/>
        <v>0</v>
      </c>
      <c r="U165" s="2">
        <f>AH165</f>
        <v>38.456000000000003</v>
      </c>
      <c r="V165" s="2">
        <f>AI165</f>
        <v>0</v>
      </c>
      <c r="W165" s="2">
        <f>ROUND(AJ165,2)</f>
        <v>0</v>
      </c>
      <c r="X165" s="2">
        <f>ROUND(AK165,2)</f>
        <v>6927.12</v>
      </c>
      <c r="Y165" s="2">
        <f>ROUND(AL165,2)</f>
        <v>989.59</v>
      </c>
      <c r="Z165" s="2"/>
      <c r="AA165" s="2"/>
      <c r="AB165" s="2">
        <f>ROUND(SUMIF(AA162:AA162,"=38799519",O162:O162),2)</f>
        <v>10155.040000000001</v>
      </c>
      <c r="AC165" s="2">
        <f>ROUND(SUMIF(AA162:AA162,"=38799519",P162:P162),2)</f>
        <v>0</v>
      </c>
      <c r="AD165" s="2">
        <f>ROUND(SUMIF(AA162:AA162,"=38799519",Q162:Q162),2)</f>
        <v>259.16000000000003</v>
      </c>
      <c r="AE165" s="2">
        <f>ROUND(SUMIF(AA162:AA162,"=38799519",R162:R162),2)</f>
        <v>11.29</v>
      </c>
      <c r="AF165" s="2">
        <f>ROUND(SUMIF(AA162:AA162,"=38799519",S162:S162),2)</f>
        <v>9895.8799999999992</v>
      </c>
      <c r="AG165" s="2">
        <f>ROUND(SUMIF(AA162:AA162,"=38799519",T162:T162),2)</f>
        <v>0</v>
      </c>
      <c r="AH165" s="2">
        <f>SUMIF(AA162:AA162,"=38799519",U162:U162)</f>
        <v>38.456000000000003</v>
      </c>
      <c r="AI165" s="2">
        <f>SUMIF(AA162:AA162,"=38799519",V162:V162)</f>
        <v>0</v>
      </c>
      <c r="AJ165" s="2">
        <f>ROUND(SUMIF(AA162:AA162,"=38799519",W162:W162),2)</f>
        <v>0</v>
      </c>
      <c r="AK165" s="2">
        <f>ROUND(SUMIF(AA162:AA162,"=38799519",X162:X162),2)</f>
        <v>6927.12</v>
      </c>
      <c r="AL165" s="2">
        <f>ROUND(SUMIF(AA162:AA162,"=38799519",Y162:Y162),2)</f>
        <v>989.59</v>
      </c>
      <c r="AM165" s="2"/>
      <c r="AN165" s="2"/>
      <c r="AO165" s="2">
        <f t="shared" ref="AO165:BD165" si="102">ROUND(BX165,2)</f>
        <v>0</v>
      </c>
      <c r="AP165" s="2">
        <f t="shared" si="102"/>
        <v>0</v>
      </c>
      <c r="AQ165" s="2">
        <f t="shared" si="102"/>
        <v>0</v>
      </c>
      <c r="AR165" s="2">
        <f t="shared" si="102"/>
        <v>18083.939999999999</v>
      </c>
      <c r="AS165" s="2">
        <f t="shared" si="102"/>
        <v>0</v>
      </c>
      <c r="AT165" s="2">
        <f t="shared" si="102"/>
        <v>0</v>
      </c>
      <c r="AU165" s="2">
        <f t="shared" si="102"/>
        <v>18083.939999999999</v>
      </c>
      <c r="AV165" s="2">
        <f t="shared" si="102"/>
        <v>0</v>
      </c>
      <c r="AW165" s="2">
        <f t="shared" si="102"/>
        <v>0</v>
      </c>
      <c r="AX165" s="2">
        <f t="shared" si="102"/>
        <v>0</v>
      </c>
      <c r="AY165" s="2">
        <f t="shared" si="102"/>
        <v>0</v>
      </c>
      <c r="AZ165" s="2">
        <f t="shared" si="102"/>
        <v>0</v>
      </c>
      <c r="BA165" s="2">
        <f t="shared" si="102"/>
        <v>0</v>
      </c>
      <c r="BB165" s="2">
        <f t="shared" si="102"/>
        <v>0</v>
      </c>
      <c r="BC165" s="2">
        <f t="shared" si="102"/>
        <v>0</v>
      </c>
      <c r="BD165" s="2">
        <f t="shared" si="102"/>
        <v>0</v>
      </c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>
        <f>ROUND(SUMIF(AA162:AA162,"=38799519",FQ162:FQ162),2)</f>
        <v>0</v>
      </c>
      <c r="BY165" s="2">
        <f>ROUND(SUMIF(AA162:AA162,"=38799519",FR162:FR162),2)</f>
        <v>0</v>
      </c>
      <c r="BZ165" s="2">
        <f>ROUND(SUMIF(AA162:AA162,"=38799519",GL162:GL162),2)</f>
        <v>0</v>
      </c>
      <c r="CA165" s="2">
        <f>ROUND(SUMIF(AA162:AA162,"=38799519",GM162:GM162),2)</f>
        <v>18083.939999999999</v>
      </c>
      <c r="CB165" s="2">
        <f>ROUND(SUMIF(AA162:AA162,"=38799519",GN162:GN162),2)</f>
        <v>0</v>
      </c>
      <c r="CC165" s="2">
        <f>ROUND(SUMIF(AA162:AA162,"=38799519",GO162:GO162),2)</f>
        <v>0</v>
      </c>
      <c r="CD165" s="2">
        <f>ROUND(SUMIF(AA162:AA162,"=38799519",GP162:GP162),2)</f>
        <v>18083.939999999999</v>
      </c>
      <c r="CE165" s="2">
        <f>AC165-BX165</f>
        <v>0</v>
      </c>
      <c r="CF165" s="2">
        <f>AC165-BY165</f>
        <v>0</v>
      </c>
      <c r="CG165" s="2">
        <f>BX165-BZ165</f>
        <v>0</v>
      </c>
      <c r="CH165" s="2">
        <f>AC165-BX165-BY165+BZ165</f>
        <v>0</v>
      </c>
      <c r="CI165" s="2">
        <f>BY165-BZ165</f>
        <v>0</v>
      </c>
      <c r="CJ165" s="2">
        <f>ROUND(SUMIF(AA162:AA162,"=38799519",GX162:GX162),2)</f>
        <v>0</v>
      </c>
      <c r="CK165" s="2">
        <f>ROUND(SUMIF(AA162:AA162,"=38799519",GY162:GY162),2)</f>
        <v>0</v>
      </c>
      <c r="CL165" s="2">
        <f>ROUND(SUMIF(AA162:AA162,"=38799519",GZ162:GZ162),2)</f>
        <v>0</v>
      </c>
      <c r="CM165" s="2">
        <f>ROUND(SUMIF(AA162:AA162,"=38799519",HD162:HD162),2)</f>
        <v>0</v>
      </c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>
        <v>0</v>
      </c>
    </row>
    <row r="167" spans="1:245" x14ac:dyDescent="0.2">
      <c r="A167" s="4">
        <v>50</v>
      </c>
      <c r="B167" s="4">
        <v>0</v>
      </c>
      <c r="C167" s="4">
        <v>0</v>
      </c>
      <c r="D167" s="4">
        <v>1</v>
      </c>
      <c r="E167" s="4">
        <v>201</v>
      </c>
      <c r="F167" s="4">
        <f>ROUND(Source!O165,O167)</f>
        <v>10155.040000000001</v>
      </c>
      <c r="G167" s="4" t="s">
        <v>50</v>
      </c>
      <c r="H167" s="4" t="s">
        <v>51</v>
      </c>
      <c r="I167" s="4"/>
      <c r="J167" s="4"/>
      <c r="K167" s="4">
        <v>201</v>
      </c>
      <c r="L167" s="4">
        <v>1</v>
      </c>
      <c r="M167" s="4">
        <v>3</v>
      </c>
      <c r="N167" s="4" t="s">
        <v>3</v>
      </c>
      <c r="O167" s="4">
        <v>2</v>
      </c>
      <c r="P167" s="4"/>
      <c r="Q167" s="4"/>
      <c r="R167" s="4"/>
      <c r="S167" s="4"/>
      <c r="T167" s="4"/>
      <c r="U167" s="4"/>
      <c r="V167" s="4"/>
      <c r="W167" s="4"/>
    </row>
    <row r="168" spans="1:245" x14ac:dyDescent="0.2">
      <c r="A168" s="4">
        <v>50</v>
      </c>
      <c r="B168" s="4">
        <v>0</v>
      </c>
      <c r="C168" s="4">
        <v>0</v>
      </c>
      <c r="D168" s="4">
        <v>1</v>
      </c>
      <c r="E168" s="4">
        <v>202</v>
      </c>
      <c r="F168" s="4">
        <f>ROUND(Source!P165,O168)</f>
        <v>0</v>
      </c>
      <c r="G168" s="4" t="s">
        <v>52</v>
      </c>
      <c r="H168" s="4" t="s">
        <v>53</v>
      </c>
      <c r="I168" s="4"/>
      <c r="J168" s="4"/>
      <c r="K168" s="4">
        <v>202</v>
      </c>
      <c r="L168" s="4">
        <v>2</v>
      </c>
      <c r="M168" s="4">
        <v>3</v>
      </c>
      <c r="N168" s="4" t="s">
        <v>3</v>
      </c>
      <c r="O168" s="4">
        <v>2</v>
      </c>
      <c r="P168" s="4"/>
      <c r="Q168" s="4"/>
      <c r="R168" s="4"/>
      <c r="S168" s="4"/>
      <c r="T168" s="4"/>
      <c r="U168" s="4"/>
      <c r="V168" s="4"/>
      <c r="W168" s="4"/>
    </row>
    <row r="169" spans="1:245" x14ac:dyDescent="0.2">
      <c r="A169" s="4">
        <v>50</v>
      </c>
      <c r="B169" s="4">
        <v>0</v>
      </c>
      <c r="C169" s="4">
        <v>0</v>
      </c>
      <c r="D169" s="4">
        <v>1</v>
      </c>
      <c r="E169" s="4">
        <v>222</v>
      </c>
      <c r="F169" s="4">
        <f>ROUND(Source!AO165,O169)</f>
        <v>0</v>
      </c>
      <c r="G169" s="4" t="s">
        <v>54</v>
      </c>
      <c r="H169" s="4" t="s">
        <v>55</v>
      </c>
      <c r="I169" s="4"/>
      <c r="J169" s="4"/>
      <c r="K169" s="4">
        <v>222</v>
      </c>
      <c r="L169" s="4">
        <v>3</v>
      </c>
      <c r="M169" s="4">
        <v>3</v>
      </c>
      <c r="N169" s="4" t="s">
        <v>3</v>
      </c>
      <c r="O169" s="4">
        <v>2</v>
      </c>
      <c r="P169" s="4"/>
      <c r="Q169" s="4"/>
      <c r="R169" s="4"/>
      <c r="S169" s="4"/>
      <c r="T169" s="4"/>
      <c r="U169" s="4"/>
      <c r="V169" s="4"/>
      <c r="W169" s="4"/>
    </row>
    <row r="170" spans="1:245" x14ac:dyDescent="0.2">
      <c r="A170" s="4">
        <v>50</v>
      </c>
      <c r="B170" s="4">
        <v>0</v>
      </c>
      <c r="C170" s="4">
        <v>0</v>
      </c>
      <c r="D170" s="4">
        <v>1</v>
      </c>
      <c r="E170" s="4">
        <v>225</v>
      </c>
      <c r="F170" s="4">
        <f>ROUND(Source!AV165,O170)</f>
        <v>0</v>
      </c>
      <c r="G170" s="4" t="s">
        <v>56</v>
      </c>
      <c r="H170" s="4" t="s">
        <v>57</v>
      </c>
      <c r="I170" s="4"/>
      <c r="J170" s="4"/>
      <c r="K170" s="4">
        <v>225</v>
      </c>
      <c r="L170" s="4">
        <v>4</v>
      </c>
      <c r="M170" s="4">
        <v>3</v>
      </c>
      <c r="N170" s="4" t="s">
        <v>3</v>
      </c>
      <c r="O170" s="4">
        <v>2</v>
      </c>
      <c r="P170" s="4"/>
      <c r="Q170" s="4"/>
      <c r="R170" s="4"/>
      <c r="S170" s="4"/>
      <c r="T170" s="4"/>
      <c r="U170" s="4"/>
      <c r="V170" s="4"/>
      <c r="W170" s="4"/>
    </row>
    <row r="171" spans="1:245" x14ac:dyDescent="0.2">
      <c r="A171" s="4">
        <v>50</v>
      </c>
      <c r="B171" s="4">
        <v>0</v>
      </c>
      <c r="C171" s="4">
        <v>0</v>
      </c>
      <c r="D171" s="4">
        <v>1</v>
      </c>
      <c r="E171" s="4">
        <v>226</v>
      </c>
      <c r="F171" s="4">
        <f>ROUND(Source!AW165,O171)</f>
        <v>0</v>
      </c>
      <c r="G171" s="4" t="s">
        <v>58</v>
      </c>
      <c r="H171" s="4" t="s">
        <v>59</v>
      </c>
      <c r="I171" s="4"/>
      <c r="J171" s="4"/>
      <c r="K171" s="4">
        <v>226</v>
      </c>
      <c r="L171" s="4">
        <v>5</v>
      </c>
      <c r="M171" s="4">
        <v>3</v>
      </c>
      <c r="N171" s="4" t="s">
        <v>3</v>
      </c>
      <c r="O171" s="4">
        <v>2</v>
      </c>
      <c r="P171" s="4"/>
      <c r="Q171" s="4"/>
      <c r="R171" s="4"/>
      <c r="S171" s="4"/>
      <c r="T171" s="4"/>
      <c r="U171" s="4"/>
      <c r="V171" s="4"/>
      <c r="W171" s="4"/>
    </row>
    <row r="172" spans="1:245" x14ac:dyDescent="0.2">
      <c r="A172" s="4">
        <v>50</v>
      </c>
      <c r="B172" s="4">
        <v>0</v>
      </c>
      <c r="C172" s="4">
        <v>0</v>
      </c>
      <c r="D172" s="4">
        <v>1</v>
      </c>
      <c r="E172" s="4">
        <v>227</v>
      </c>
      <c r="F172" s="4">
        <f>ROUND(Source!AX165,O172)</f>
        <v>0</v>
      </c>
      <c r="G172" s="4" t="s">
        <v>60</v>
      </c>
      <c r="H172" s="4" t="s">
        <v>61</v>
      </c>
      <c r="I172" s="4"/>
      <c r="J172" s="4"/>
      <c r="K172" s="4">
        <v>227</v>
      </c>
      <c r="L172" s="4">
        <v>6</v>
      </c>
      <c r="M172" s="4">
        <v>3</v>
      </c>
      <c r="N172" s="4" t="s">
        <v>3</v>
      </c>
      <c r="O172" s="4">
        <v>2</v>
      </c>
      <c r="P172" s="4"/>
      <c r="Q172" s="4"/>
      <c r="R172" s="4"/>
      <c r="S172" s="4"/>
      <c r="T172" s="4"/>
      <c r="U172" s="4"/>
      <c r="V172" s="4"/>
      <c r="W172" s="4"/>
    </row>
    <row r="173" spans="1:245" x14ac:dyDescent="0.2">
      <c r="A173" s="4">
        <v>50</v>
      </c>
      <c r="B173" s="4">
        <v>0</v>
      </c>
      <c r="C173" s="4">
        <v>0</v>
      </c>
      <c r="D173" s="4">
        <v>1</v>
      </c>
      <c r="E173" s="4">
        <v>228</v>
      </c>
      <c r="F173" s="4">
        <f>ROUND(Source!AY165,O173)</f>
        <v>0</v>
      </c>
      <c r="G173" s="4" t="s">
        <v>62</v>
      </c>
      <c r="H173" s="4" t="s">
        <v>63</v>
      </c>
      <c r="I173" s="4"/>
      <c r="J173" s="4"/>
      <c r="K173" s="4">
        <v>228</v>
      </c>
      <c r="L173" s="4">
        <v>7</v>
      </c>
      <c r="M173" s="4">
        <v>3</v>
      </c>
      <c r="N173" s="4" t="s">
        <v>3</v>
      </c>
      <c r="O173" s="4">
        <v>2</v>
      </c>
      <c r="P173" s="4"/>
      <c r="Q173" s="4"/>
      <c r="R173" s="4"/>
      <c r="S173" s="4"/>
      <c r="T173" s="4"/>
      <c r="U173" s="4"/>
      <c r="V173" s="4"/>
      <c r="W173" s="4"/>
    </row>
    <row r="174" spans="1:245" x14ac:dyDescent="0.2">
      <c r="A174" s="4">
        <v>50</v>
      </c>
      <c r="B174" s="4">
        <v>0</v>
      </c>
      <c r="C174" s="4">
        <v>0</v>
      </c>
      <c r="D174" s="4">
        <v>1</v>
      </c>
      <c r="E174" s="4">
        <v>216</v>
      </c>
      <c r="F174" s="4">
        <f>ROUND(Source!AP165,O174)</f>
        <v>0</v>
      </c>
      <c r="G174" s="4" t="s">
        <v>64</v>
      </c>
      <c r="H174" s="4" t="s">
        <v>65</v>
      </c>
      <c r="I174" s="4"/>
      <c r="J174" s="4"/>
      <c r="K174" s="4">
        <v>216</v>
      </c>
      <c r="L174" s="4">
        <v>8</v>
      </c>
      <c r="M174" s="4">
        <v>3</v>
      </c>
      <c r="N174" s="4" t="s">
        <v>3</v>
      </c>
      <c r="O174" s="4">
        <v>2</v>
      </c>
      <c r="P174" s="4"/>
      <c r="Q174" s="4"/>
      <c r="R174" s="4"/>
      <c r="S174" s="4"/>
      <c r="T174" s="4"/>
      <c r="U174" s="4"/>
      <c r="V174" s="4"/>
      <c r="W174" s="4"/>
    </row>
    <row r="175" spans="1:245" x14ac:dyDescent="0.2">
      <c r="A175" s="4">
        <v>50</v>
      </c>
      <c r="B175" s="4">
        <v>0</v>
      </c>
      <c r="C175" s="4">
        <v>0</v>
      </c>
      <c r="D175" s="4">
        <v>1</v>
      </c>
      <c r="E175" s="4">
        <v>223</v>
      </c>
      <c r="F175" s="4">
        <f>ROUND(Source!AQ165,O175)</f>
        <v>0</v>
      </c>
      <c r="G175" s="4" t="s">
        <v>66</v>
      </c>
      <c r="H175" s="4" t="s">
        <v>67</v>
      </c>
      <c r="I175" s="4"/>
      <c r="J175" s="4"/>
      <c r="K175" s="4">
        <v>223</v>
      </c>
      <c r="L175" s="4">
        <v>9</v>
      </c>
      <c r="M175" s="4">
        <v>3</v>
      </c>
      <c r="N175" s="4" t="s">
        <v>3</v>
      </c>
      <c r="O175" s="4">
        <v>2</v>
      </c>
      <c r="P175" s="4"/>
      <c r="Q175" s="4"/>
      <c r="R175" s="4"/>
      <c r="S175" s="4"/>
      <c r="T175" s="4"/>
      <c r="U175" s="4"/>
      <c r="V175" s="4"/>
      <c r="W175" s="4"/>
    </row>
    <row r="176" spans="1:245" x14ac:dyDescent="0.2">
      <c r="A176" s="4">
        <v>50</v>
      </c>
      <c r="B176" s="4">
        <v>0</v>
      </c>
      <c r="C176" s="4">
        <v>0</v>
      </c>
      <c r="D176" s="4">
        <v>1</v>
      </c>
      <c r="E176" s="4">
        <v>229</v>
      </c>
      <c r="F176" s="4">
        <f>ROUND(Source!AZ165,O176)</f>
        <v>0</v>
      </c>
      <c r="G176" s="4" t="s">
        <v>68</v>
      </c>
      <c r="H176" s="4" t="s">
        <v>69</v>
      </c>
      <c r="I176" s="4"/>
      <c r="J176" s="4"/>
      <c r="K176" s="4">
        <v>229</v>
      </c>
      <c r="L176" s="4">
        <v>10</v>
      </c>
      <c r="M176" s="4">
        <v>3</v>
      </c>
      <c r="N176" s="4" t="s">
        <v>3</v>
      </c>
      <c r="O176" s="4">
        <v>2</v>
      </c>
      <c r="P176" s="4"/>
      <c r="Q176" s="4"/>
      <c r="R176" s="4"/>
      <c r="S176" s="4"/>
      <c r="T176" s="4"/>
      <c r="U176" s="4"/>
      <c r="V176" s="4"/>
      <c r="W176" s="4"/>
    </row>
    <row r="177" spans="1:23" x14ac:dyDescent="0.2">
      <c r="A177" s="4">
        <v>50</v>
      </c>
      <c r="B177" s="4">
        <v>0</v>
      </c>
      <c r="C177" s="4">
        <v>0</v>
      </c>
      <c r="D177" s="4">
        <v>1</v>
      </c>
      <c r="E177" s="4">
        <v>203</v>
      </c>
      <c r="F177" s="4">
        <f>ROUND(Source!Q165,O177)</f>
        <v>259.16000000000003</v>
      </c>
      <c r="G177" s="4" t="s">
        <v>70</v>
      </c>
      <c r="H177" s="4" t="s">
        <v>71</v>
      </c>
      <c r="I177" s="4"/>
      <c r="J177" s="4"/>
      <c r="K177" s="4">
        <v>203</v>
      </c>
      <c r="L177" s="4">
        <v>11</v>
      </c>
      <c r="M177" s="4">
        <v>3</v>
      </c>
      <c r="N177" s="4" t="s">
        <v>3</v>
      </c>
      <c r="O177" s="4">
        <v>2</v>
      </c>
      <c r="P177" s="4"/>
      <c r="Q177" s="4"/>
      <c r="R177" s="4"/>
      <c r="S177" s="4"/>
      <c r="T177" s="4"/>
      <c r="U177" s="4"/>
      <c r="V177" s="4"/>
      <c r="W177" s="4"/>
    </row>
    <row r="178" spans="1:23" x14ac:dyDescent="0.2">
      <c r="A178" s="4">
        <v>50</v>
      </c>
      <c r="B178" s="4">
        <v>0</v>
      </c>
      <c r="C178" s="4">
        <v>0</v>
      </c>
      <c r="D178" s="4">
        <v>1</v>
      </c>
      <c r="E178" s="4">
        <v>231</v>
      </c>
      <c r="F178" s="4">
        <f>ROUND(Source!BB165,O178)</f>
        <v>0</v>
      </c>
      <c r="G178" s="4" t="s">
        <v>72</v>
      </c>
      <c r="H178" s="4" t="s">
        <v>73</v>
      </c>
      <c r="I178" s="4"/>
      <c r="J178" s="4"/>
      <c r="K178" s="4">
        <v>231</v>
      </c>
      <c r="L178" s="4">
        <v>12</v>
      </c>
      <c r="M178" s="4">
        <v>3</v>
      </c>
      <c r="N178" s="4" t="s">
        <v>3</v>
      </c>
      <c r="O178" s="4">
        <v>2</v>
      </c>
      <c r="P178" s="4"/>
      <c r="Q178" s="4"/>
      <c r="R178" s="4"/>
      <c r="S178" s="4"/>
      <c r="T178" s="4"/>
      <c r="U178" s="4"/>
      <c r="V178" s="4"/>
      <c r="W178" s="4"/>
    </row>
    <row r="179" spans="1:23" x14ac:dyDescent="0.2">
      <c r="A179" s="4">
        <v>50</v>
      </c>
      <c r="B179" s="4">
        <v>0</v>
      </c>
      <c r="C179" s="4">
        <v>0</v>
      </c>
      <c r="D179" s="4">
        <v>1</v>
      </c>
      <c r="E179" s="4">
        <v>204</v>
      </c>
      <c r="F179" s="4">
        <f>ROUND(Source!R165,O179)</f>
        <v>11.29</v>
      </c>
      <c r="G179" s="4" t="s">
        <v>74</v>
      </c>
      <c r="H179" s="4" t="s">
        <v>75</v>
      </c>
      <c r="I179" s="4"/>
      <c r="J179" s="4"/>
      <c r="K179" s="4">
        <v>204</v>
      </c>
      <c r="L179" s="4">
        <v>13</v>
      </c>
      <c r="M179" s="4">
        <v>3</v>
      </c>
      <c r="N179" s="4" t="s">
        <v>3</v>
      </c>
      <c r="O179" s="4">
        <v>2</v>
      </c>
      <c r="P179" s="4"/>
      <c r="Q179" s="4"/>
      <c r="R179" s="4"/>
      <c r="S179" s="4"/>
      <c r="T179" s="4"/>
      <c r="U179" s="4"/>
      <c r="V179" s="4"/>
      <c r="W179" s="4"/>
    </row>
    <row r="180" spans="1:23" x14ac:dyDescent="0.2">
      <c r="A180" s="4">
        <v>50</v>
      </c>
      <c r="B180" s="4">
        <v>0</v>
      </c>
      <c r="C180" s="4">
        <v>0</v>
      </c>
      <c r="D180" s="4">
        <v>1</v>
      </c>
      <c r="E180" s="4">
        <v>205</v>
      </c>
      <c r="F180" s="4">
        <f>ROUND(Source!S165,O180)</f>
        <v>9895.8799999999992</v>
      </c>
      <c r="G180" s="4" t="s">
        <v>76</v>
      </c>
      <c r="H180" s="4" t="s">
        <v>77</v>
      </c>
      <c r="I180" s="4"/>
      <c r="J180" s="4"/>
      <c r="K180" s="4">
        <v>205</v>
      </c>
      <c r="L180" s="4">
        <v>14</v>
      </c>
      <c r="M180" s="4">
        <v>3</v>
      </c>
      <c r="N180" s="4" t="s">
        <v>3</v>
      </c>
      <c r="O180" s="4">
        <v>2</v>
      </c>
      <c r="P180" s="4"/>
      <c r="Q180" s="4"/>
      <c r="R180" s="4"/>
      <c r="S180" s="4"/>
      <c r="T180" s="4"/>
      <c r="U180" s="4"/>
      <c r="V180" s="4"/>
      <c r="W180" s="4"/>
    </row>
    <row r="181" spans="1:23" x14ac:dyDescent="0.2">
      <c r="A181" s="4">
        <v>50</v>
      </c>
      <c r="B181" s="4">
        <v>0</v>
      </c>
      <c r="C181" s="4">
        <v>0</v>
      </c>
      <c r="D181" s="4">
        <v>1</v>
      </c>
      <c r="E181" s="4">
        <v>232</v>
      </c>
      <c r="F181" s="4">
        <f>ROUND(Source!BC165,O181)</f>
        <v>0</v>
      </c>
      <c r="G181" s="4" t="s">
        <v>78</v>
      </c>
      <c r="H181" s="4" t="s">
        <v>79</v>
      </c>
      <c r="I181" s="4"/>
      <c r="J181" s="4"/>
      <c r="K181" s="4">
        <v>232</v>
      </c>
      <c r="L181" s="4">
        <v>15</v>
      </c>
      <c r="M181" s="4">
        <v>3</v>
      </c>
      <c r="N181" s="4" t="s">
        <v>3</v>
      </c>
      <c r="O181" s="4">
        <v>2</v>
      </c>
      <c r="P181" s="4"/>
      <c r="Q181" s="4"/>
      <c r="R181" s="4"/>
      <c r="S181" s="4"/>
      <c r="T181" s="4"/>
      <c r="U181" s="4"/>
      <c r="V181" s="4"/>
      <c r="W181" s="4"/>
    </row>
    <row r="182" spans="1:23" x14ac:dyDescent="0.2">
      <c r="A182" s="4">
        <v>50</v>
      </c>
      <c r="B182" s="4">
        <v>0</v>
      </c>
      <c r="C182" s="4">
        <v>0</v>
      </c>
      <c r="D182" s="4">
        <v>1</v>
      </c>
      <c r="E182" s="4">
        <v>214</v>
      </c>
      <c r="F182" s="4">
        <f>ROUND(Source!AS165,O182)</f>
        <v>0</v>
      </c>
      <c r="G182" s="4" t="s">
        <v>80</v>
      </c>
      <c r="H182" s="4" t="s">
        <v>81</v>
      </c>
      <c r="I182" s="4"/>
      <c r="J182" s="4"/>
      <c r="K182" s="4">
        <v>214</v>
      </c>
      <c r="L182" s="4">
        <v>16</v>
      </c>
      <c r="M182" s="4">
        <v>3</v>
      </c>
      <c r="N182" s="4" t="s">
        <v>3</v>
      </c>
      <c r="O182" s="4">
        <v>2</v>
      </c>
      <c r="P182" s="4"/>
      <c r="Q182" s="4"/>
      <c r="R182" s="4"/>
      <c r="S182" s="4"/>
      <c r="T182" s="4"/>
      <c r="U182" s="4"/>
      <c r="V182" s="4"/>
      <c r="W182" s="4"/>
    </row>
    <row r="183" spans="1:23" x14ac:dyDescent="0.2">
      <c r="A183" s="4">
        <v>50</v>
      </c>
      <c r="B183" s="4">
        <v>0</v>
      </c>
      <c r="C183" s="4">
        <v>0</v>
      </c>
      <c r="D183" s="4">
        <v>1</v>
      </c>
      <c r="E183" s="4">
        <v>215</v>
      </c>
      <c r="F183" s="4">
        <f>ROUND(Source!AT165,O183)</f>
        <v>0</v>
      </c>
      <c r="G183" s="4" t="s">
        <v>82</v>
      </c>
      <c r="H183" s="4" t="s">
        <v>83</v>
      </c>
      <c r="I183" s="4"/>
      <c r="J183" s="4"/>
      <c r="K183" s="4">
        <v>215</v>
      </c>
      <c r="L183" s="4">
        <v>17</v>
      </c>
      <c r="M183" s="4">
        <v>3</v>
      </c>
      <c r="N183" s="4" t="s">
        <v>3</v>
      </c>
      <c r="O183" s="4">
        <v>2</v>
      </c>
      <c r="P183" s="4"/>
      <c r="Q183" s="4"/>
      <c r="R183" s="4"/>
      <c r="S183" s="4"/>
      <c r="T183" s="4"/>
      <c r="U183" s="4"/>
      <c r="V183" s="4"/>
      <c r="W183" s="4"/>
    </row>
    <row r="184" spans="1:23" x14ac:dyDescent="0.2">
      <c r="A184" s="4">
        <v>50</v>
      </c>
      <c r="B184" s="4">
        <v>0</v>
      </c>
      <c r="C184" s="4">
        <v>0</v>
      </c>
      <c r="D184" s="4">
        <v>1</v>
      </c>
      <c r="E184" s="4">
        <v>217</v>
      </c>
      <c r="F184" s="4">
        <f>ROUND(Source!AU165,O184)</f>
        <v>18083.939999999999</v>
      </c>
      <c r="G184" s="4" t="s">
        <v>84</v>
      </c>
      <c r="H184" s="4" t="s">
        <v>85</v>
      </c>
      <c r="I184" s="4"/>
      <c r="J184" s="4"/>
      <c r="K184" s="4">
        <v>217</v>
      </c>
      <c r="L184" s="4">
        <v>18</v>
      </c>
      <c r="M184" s="4">
        <v>3</v>
      </c>
      <c r="N184" s="4" t="s">
        <v>3</v>
      </c>
      <c r="O184" s="4">
        <v>2</v>
      </c>
      <c r="P184" s="4"/>
      <c r="Q184" s="4"/>
      <c r="R184" s="4"/>
      <c r="S184" s="4"/>
      <c r="T184" s="4"/>
      <c r="U184" s="4"/>
      <c r="V184" s="4"/>
      <c r="W184" s="4"/>
    </row>
    <row r="185" spans="1:23" x14ac:dyDescent="0.2">
      <c r="A185" s="4">
        <v>50</v>
      </c>
      <c r="B185" s="4">
        <v>0</v>
      </c>
      <c r="C185" s="4">
        <v>0</v>
      </c>
      <c r="D185" s="4">
        <v>1</v>
      </c>
      <c r="E185" s="4">
        <v>230</v>
      </c>
      <c r="F185" s="4">
        <f>ROUND(Source!BA165,O185)</f>
        <v>0</v>
      </c>
      <c r="G185" s="4" t="s">
        <v>86</v>
      </c>
      <c r="H185" s="4" t="s">
        <v>87</v>
      </c>
      <c r="I185" s="4"/>
      <c r="J185" s="4"/>
      <c r="K185" s="4">
        <v>230</v>
      </c>
      <c r="L185" s="4">
        <v>19</v>
      </c>
      <c r="M185" s="4">
        <v>3</v>
      </c>
      <c r="N185" s="4" t="s">
        <v>3</v>
      </c>
      <c r="O185" s="4">
        <v>2</v>
      </c>
      <c r="P185" s="4"/>
      <c r="Q185" s="4"/>
      <c r="R185" s="4"/>
      <c r="S185" s="4"/>
      <c r="T185" s="4"/>
      <c r="U185" s="4"/>
      <c r="V185" s="4"/>
      <c r="W185" s="4"/>
    </row>
    <row r="186" spans="1:23" x14ac:dyDescent="0.2">
      <c r="A186" s="4">
        <v>50</v>
      </c>
      <c r="B186" s="4">
        <v>0</v>
      </c>
      <c r="C186" s="4">
        <v>0</v>
      </c>
      <c r="D186" s="4">
        <v>1</v>
      </c>
      <c r="E186" s="4">
        <v>206</v>
      </c>
      <c r="F186" s="4">
        <f>ROUND(Source!T165,O186)</f>
        <v>0</v>
      </c>
      <c r="G186" s="4" t="s">
        <v>88</v>
      </c>
      <c r="H186" s="4" t="s">
        <v>89</v>
      </c>
      <c r="I186" s="4"/>
      <c r="J186" s="4"/>
      <c r="K186" s="4">
        <v>206</v>
      </c>
      <c r="L186" s="4">
        <v>20</v>
      </c>
      <c r="M186" s="4">
        <v>3</v>
      </c>
      <c r="N186" s="4" t="s">
        <v>3</v>
      </c>
      <c r="O186" s="4">
        <v>2</v>
      </c>
      <c r="P186" s="4"/>
      <c r="Q186" s="4"/>
      <c r="R186" s="4"/>
      <c r="S186" s="4"/>
      <c r="T186" s="4"/>
      <c r="U186" s="4"/>
      <c r="V186" s="4"/>
      <c r="W186" s="4"/>
    </row>
    <row r="187" spans="1:23" x14ac:dyDescent="0.2">
      <c r="A187" s="4">
        <v>50</v>
      </c>
      <c r="B187" s="4">
        <v>0</v>
      </c>
      <c r="C187" s="4">
        <v>0</v>
      </c>
      <c r="D187" s="4">
        <v>1</v>
      </c>
      <c r="E187" s="4">
        <v>207</v>
      </c>
      <c r="F187" s="4">
        <f>Source!U165</f>
        <v>38.456000000000003</v>
      </c>
      <c r="G187" s="4" t="s">
        <v>90</v>
      </c>
      <c r="H187" s="4" t="s">
        <v>91</v>
      </c>
      <c r="I187" s="4"/>
      <c r="J187" s="4"/>
      <c r="K187" s="4">
        <v>207</v>
      </c>
      <c r="L187" s="4">
        <v>21</v>
      </c>
      <c r="M187" s="4">
        <v>3</v>
      </c>
      <c r="N187" s="4" t="s">
        <v>3</v>
      </c>
      <c r="O187" s="4">
        <v>-1</v>
      </c>
      <c r="P187" s="4"/>
      <c r="Q187" s="4"/>
      <c r="R187" s="4"/>
      <c r="S187" s="4"/>
      <c r="T187" s="4"/>
      <c r="U187" s="4"/>
      <c r="V187" s="4"/>
      <c r="W187" s="4"/>
    </row>
    <row r="188" spans="1:23" x14ac:dyDescent="0.2">
      <c r="A188" s="4">
        <v>50</v>
      </c>
      <c r="B188" s="4">
        <v>0</v>
      </c>
      <c r="C188" s="4">
        <v>0</v>
      </c>
      <c r="D188" s="4">
        <v>1</v>
      </c>
      <c r="E188" s="4">
        <v>208</v>
      </c>
      <c r="F188" s="4">
        <f>Source!V165</f>
        <v>0</v>
      </c>
      <c r="G188" s="4" t="s">
        <v>92</v>
      </c>
      <c r="H188" s="4" t="s">
        <v>93</v>
      </c>
      <c r="I188" s="4"/>
      <c r="J188" s="4"/>
      <c r="K188" s="4">
        <v>208</v>
      </c>
      <c r="L188" s="4">
        <v>22</v>
      </c>
      <c r="M188" s="4">
        <v>3</v>
      </c>
      <c r="N188" s="4" t="s">
        <v>3</v>
      </c>
      <c r="O188" s="4">
        <v>-1</v>
      </c>
      <c r="P188" s="4"/>
      <c r="Q188" s="4"/>
      <c r="R188" s="4"/>
      <c r="S188" s="4"/>
      <c r="T188" s="4"/>
      <c r="U188" s="4"/>
      <c r="V188" s="4"/>
      <c r="W188" s="4"/>
    </row>
    <row r="189" spans="1:23" x14ac:dyDescent="0.2">
      <c r="A189" s="4">
        <v>50</v>
      </c>
      <c r="B189" s="4">
        <v>0</v>
      </c>
      <c r="C189" s="4">
        <v>0</v>
      </c>
      <c r="D189" s="4">
        <v>1</v>
      </c>
      <c r="E189" s="4">
        <v>209</v>
      </c>
      <c r="F189" s="4">
        <f>ROUND(Source!W165,O189)</f>
        <v>0</v>
      </c>
      <c r="G189" s="4" t="s">
        <v>94</v>
      </c>
      <c r="H189" s="4" t="s">
        <v>95</v>
      </c>
      <c r="I189" s="4"/>
      <c r="J189" s="4"/>
      <c r="K189" s="4">
        <v>209</v>
      </c>
      <c r="L189" s="4">
        <v>23</v>
      </c>
      <c r="M189" s="4">
        <v>3</v>
      </c>
      <c r="N189" s="4" t="s">
        <v>3</v>
      </c>
      <c r="O189" s="4">
        <v>2</v>
      </c>
      <c r="P189" s="4"/>
      <c r="Q189" s="4"/>
      <c r="R189" s="4"/>
      <c r="S189" s="4"/>
      <c r="T189" s="4"/>
      <c r="U189" s="4"/>
      <c r="V189" s="4"/>
      <c r="W189" s="4"/>
    </row>
    <row r="190" spans="1:23" x14ac:dyDescent="0.2">
      <c r="A190" s="4">
        <v>50</v>
      </c>
      <c r="B190" s="4">
        <v>0</v>
      </c>
      <c r="C190" s="4">
        <v>0</v>
      </c>
      <c r="D190" s="4">
        <v>1</v>
      </c>
      <c r="E190" s="4">
        <v>233</v>
      </c>
      <c r="F190" s="4">
        <f>ROUND(Source!BD165,O190)</f>
        <v>0</v>
      </c>
      <c r="G190" s="4" t="s">
        <v>96</v>
      </c>
      <c r="H190" s="4" t="s">
        <v>97</v>
      </c>
      <c r="I190" s="4"/>
      <c r="J190" s="4"/>
      <c r="K190" s="4">
        <v>233</v>
      </c>
      <c r="L190" s="4">
        <v>24</v>
      </c>
      <c r="M190" s="4">
        <v>3</v>
      </c>
      <c r="N190" s="4" t="s">
        <v>3</v>
      </c>
      <c r="O190" s="4">
        <v>2</v>
      </c>
      <c r="P190" s="4"/>
      <c r="Q190" s="4"/>
      <c r="R190" s="4"/>
      <c r="S190" s="4"/>
      <c r="T190" s="4"/>
      <c r="U190" s="4"/>
      <c r="V190" s="4"/>
      <c r="W190" s="4"/>
    </row>
    <row r="191" spans="1:23" x14ac:dyDescent="0.2">
      <c r="A191" s="4">
        <v>50</v>
      </c>
      <c r="B191" s="4">
        <v>0</v>
      </c>
      <c r="C191" s="4">
        <v>0</v>
      </c>
      <c r="D191" s="4">
        <v>1</v>
      </c>
      <c r="E191" s="4">
        <v>210</v>
      </c>
      <c r="F191" s="4">
        <f>ROUND(Source!X165,O191)</f>
        <v>6927.12</v>
      </c>
      <c r="G191" s="4" t="s">
        <v>98</v>
      </c>
      <c r="H191" s="4" t="s">
        <v>99</v>
      </c>
      <c r="I191" s="4"/>
      <c r="J191" s="4"/>
      <c r="K191" s="4">
        <v>210</v>
      </c>
      <c r="L191" s="4">
        <v>25</v>
      </c>
      <c r="M191" s="4">
        <v>3</v>
      </c>
      <c r="N191" s="4" t="s">
        <v>3</v>
      </c>
      <c r="O191" s="4">
        <v>2</v>
      </c>
      <c r="P191" s="4"/>
      <c r="Q191" s="4"/>
      <c r="R191" s="4"/>
      <c r="S191" s="4"/>
      <c r="T191" s="4"/>
      <c r="U191" s="4"/>
      <c r="V191" s="4"/>
      <c r="W191" s="4"/>
    </row>
    <row r="192" spans="1:23" x14ac:dyDescent="0.2">
      <c r="A192" s="4">
        <v>50</v>
      </c>
      <c r="B192" s="4">
        <v>0</v>
      </c>
      <c r="C192" s="4">
        <v>0</v>
      </c>
      <c r="D192" s="4">
        <v>1</v>
      </c>
      <c r="E192" s="4">
        <v>211</v>
      </c>
      <c r="F192" s="4">
        <f>ROUND(Source!Y165,O192)</f>
        <v>989.59</v>
      </c>
      <c r="G192" s="4" t="s">
        <v>100</v>
      </c>
      <c r="H192" s="4" t="s">
        <v>101</v>
      </c>
      <c r="I192" s="4"/>
      <c r="J192" s="4"/>
      <c r="K192" s="4">
        <v>211</v>
      </c>
      <c r="L192" s="4">
        <v>26</v>
      </c>
      <c r="M192" s="4">
        <v>3</v>
      </c>
      <c r="N192" s="4" t="s">
        <v>3</v>
      </c>
      <c r="O192" s="4">
        <v>2</v>
      </c>
      <c r="P192" s="4"/>
      <c r="Q192" s="4"/>
      <c r="R192" s="4"/>
      <c r="S192" s="4"/>
      <c r="T192" s="4"/>
      <c r="U192" s="4"/>
      <c r="V192" s="4"/>
      <c r="W192" s="4"/>
    </row>
    <row r="193" spans="1:245" x14ac:dyDescent="0.2">
      <c r="A193" s="4">
        <v>50</v>
      </c>
      <c r="B193" s="4">
        <v>0</v>
      </c>
      <c r="C193" s="4">
        <v>0</v>
      </c>
      <c r="D193" s="4">
        <v>1</v>
      </c>
      <c r="E193" s="4">
        <v>224</v>
      </c>
      <c r="F193" s="4">
        <f>ROUND(Source!AR165,O193)</f>
        <v>18083.939999999999</v>
      </c>
      <c r="G193" s="4" t="s">
        <v>102</v>
      </c>
      <c r="H193" s="4" t="s">
        <v>103</v>
      </c>
      <c r="I193" s="4"/>
      <c r="J193" s="4"/>
      <c r="K193" s="4">
        <v>224</v>
      </c>
      <c r="L193" s="4">
        <v>27</v>
      </c>
      <c r="M193" s="4">
        <v>3</v>
      </c>
      <c r="N193" s="4" t="s">
        <v>3</v>
      </c>
      <c r="O193" s="4">
        <v>2</v>
      </c>
      <c r="P193" s="4"/>
      <c r="Q193" s="4"/>
      <c r="R193" s="4"/>
      <c r="S193" s="4"/>
      <c r="T193" s="4"/>
      <c r="U193" s="4"/>
      <c r="V193" s="4"/>
      <c r="W193" s="4"/>
    </row>
    <row r="195" spans="1:245" x14ac:dyDescent="0.2">
      <c r="A195" s="1">
        <v>5</v>
      </c>
      <c r="B195" s="1">
        <v>1</v>
      </c>
      <c r="C195" s="1"/>
      <c r="D195" s="1">
        <f>ROW(A230)</f>
        <v>230</v>
      </c>
      <c r="E195" s="1"/>
      <c r="F195" s="1" t="s">
        <v>14</v>
      </c>
      <c r="G195" s="1" t="s">
        <v>104</v>
      </c>
      <c r="H195" s="1" t="s">
        <v>3</v>
      </c>
      <c r="I195" s="1">
        <v>0</v>
      </c>
      <c r="J195" s="1"/>
      <c r="K195" s="1">
        <v>0</v>
      </c>
      <c r="L195" s="1"/>
      <c r="M195" s="1"/>
      <c r="N195" s="1"/>
      <c r="O195" s="1"/>
      <c r="P195" s="1"/>
      <c r="Q195" s="1"/>
      <c r="R195" s="1"/>
      <c r="S195" s="1"/>
      <c r="T195" s="1"/>
      <c r="U195" s="1" t="s">
        <v>3</v>
      </c>
      <c r="V195" s="1">
        <v>0</v>
      </c>
      <c r="W195" s="1"/>
      <c r="X195" s="1"/>
      <c r="Y195" s="1"/>
      <c r="Z195" s="1"/>
      <c r="AA195" s="1"/>
      <c r="AB195" s="1" t="s">
        <v>3</v>
      </c>
      <c r="AC195" s="1" t="s">
        <v>3</v>
      </c>
      <c r="AD195" s="1" t="s">
        <v>3</v>
      </c>
      <c r="AE195" s="1" t="s">
        <v>3</v>
      </c>
      <c r="AF195" s="1" t="s">
        <v>3</v>
      </c>
      <c r="AG195" s="1" t="s">
        <v>3</v>
      </c>
      <c r="AH195" s="1"/>
      <c r="AI195" s="1"/>
      <c r="AJ195" s="1"/>
      <c r="AK195" s="1"/>
      <c r="AL195" s="1"/>
      <c r="AM195" s="1"/>
      <c r="AN195" s="1"/>
      <c r="AO195" s="1"/>
      <c r="AP195" s="1" t="s">
        <v>3</v>
      </c>
      <c r="AQ195" s="1" t="s">
        <v>3</v>
      </c>
      <c r="AR195" s="1" t="s">
        <v>3</v>
      </c>
      <c r="AS195" s="1"/>
      <c r="AT195" s="1"/>
      <c r="AU195" s="1"/>
      <c r="AV195" s="1"/>
      <c r="AW195" s="1"/>
      <c r="AX195" s="1"/>
      <c r="AY195" s="1"/>
      <c r="AZ195" s="1" t="s">
        <v>3</v>
      </c>
      <c r="BA195" s="1"/>
      <c r="BB195" s="1" t="s">
        <v>3</v>
      </c>
      <c r="BC195" s="1" t="s">
        <v>3</v>
      </c>
      <c r="BD195" s="1" t="s">
        <v>3</v>
      </c>
      <c r="BE195" s="1" t="s">
        <v>3</v>
      </c>
      <c r="BF195" s="1" t="s">
        <v>3</v>
      </c>
      <c r="BG195" s="1" t="s">
        <v>3</v>
      </c>
      <c r="BH195" s="1" t="s">
        <v>3</v>
      </c>
      <c r="BI195" s="1" t="s">
        <v>3</v>
      </c>
      <c r="BJ195" s="1" t="s">
        <v>3</v>
      </c>
      <c r="BK195" s="1" t="s">
        <v>3</v>
      </c>
      <c r="BL195" s="1" t="s">
        <v>3</v>
      </c>
      <c r="BM195" s="1" t="s">
        <v>3</v>
      </c>
      <c r="BN195" s="1" t="s">
        <v>3</v>
      </c>
      <c r="BO195" s="1" t="s">
        <v>3</v>
      </c>
      <c r="BP195" s="1" t="s">
        <v>3</v>
      </c>
      <c r="BQ195" s="1"/>
      <c r="BR195" s="1"/>
      <c r="BS195" s="1"/>
      <c r="BT195" s="1"/>
      <c r="BU195" s="1"/>
      <c r="BV195" s="1"/>
      <c r="BW195" s="1"/>
      <c r="BX195" s="1">
        <v>0</v>
      </c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>
        <v>0</v>
      </c>
    </row>
    <row r="197" spans="1:245" x14ac:dyDescent="0.2">
      <c r="A197" s="2">
        <v>52</v>
      </c>
      <c r="B197" s="2">
        <f t="shared" ref="B197:G197" si="103">B230</f>
        <v>1</v>
      </c>
      <c r="C197" s="2">
        <f t="shared" si="103"/>
        <v>5</v>
      </c>
      <c r="D197" s="2">
        <f t="shared" si="103"/>
        <v>195</v>
      </c>
      <c r="E197" s="2">
        <f t="shared" si="103"/>
        <v>0</v>
      </c>
      <c r="F197" s="2" t="str">
        <f t="shared" si="103"/>
        <v>Новый подраздел</v>
      </c>
      <c r="G197" s="2" t="str">
        <f t="shared" si="103"/>
        <v>Строительные работы</v>
      </c>
      <c r="H197" s="2"/>
      <c r="I197" s="2"/>
      <c r="J197" s="2"/>
      <c r="K197" s="2"/>
      <c r="L197" s="2"/>
      <c r="M197" s="2"/>
      <c r="N197" s="2"/>
      <c r="O197" s="2">
        <f t="shared" ref="O197:AT197" si="104">O230</f>
        <v>1604910.61</v>
      </c>
      <c r="P197" s="2">
        <f t="shared" si="104"/>
        <v>1271603.55</v>
      </c>
      <c r="Q197" s="2">
        <f t="shared" si="104"/>
        <v>91194.26</v>
      </c>
      <c r="R197" s="2">
        <f t="shared" si="104"/>
        <v>53026.68</v>
      </c>
      <c r="S197" s="2">
        <f t="shared" si="104"/>
        <v>242112.8</v>
      </c>
      <c r="T197" s="2">
        <f t="shared" si="104"/>
        <v>0</v>
      </c>
      <c r="U197" s="2">
        <f t="shared" si="104"/>
        <v>1082.6383500000002</v>
      </c>
      <c r="V197" s="2">
        <f t="shared" si="104"/>
        <v>0</v>
      </c>
      <c r="W197" s="2">
        <f t="shared" si="104"/>
        <v>0</v>
      </c>
      <c r="X197" s="2">
        <f t="shared" si="104"/>
        <v>169478.97</v>
      </c>
      <c r="Y197" s="2">
        <f t="shared" si="104"/>
        <v>24211.3</v>
      </c>
      <c r="Z197" s="2">
        <f t="shared" si="104"/>
        <v>0</v>
      </c>
      <c r="AA197" s="2">
        <f t="shared" si="104"/>
        <v>0</v>
      </c>
      <c r="AB197" s="2">
        <f t="shared" si="104"/>
        <v>1604910.61</v>
      </c>
      <c r="AC197" s="2">
        <f t="shared" si="104"/>
        <v>1271603.55</v>
      </c>
      <c r="AD197" s="2">
        <f t="shared" si="104"/>
        <v>91194.26</v>
      </c>
      <c r="AE197" s="2">
        <f t="shared" si="104"/>
        <v>53026.68</v>
      </c>
      <c r="AF197" s="2">
        <f t="shared" si="104"/>
        <v>242112.8</v>
      </c>
      <c r="AG197" s="2">
        <f t="shared" si="104"/>
        <v>0</v>
      </c>
      <c r="AH197" s="2">
        <f t="shared" si="104"/>
        <v>1082.6383500000002</v>
      </c>
      <c r="AI197" s="2">
        <f t="shared" si="104"/>
        <v>0</v>
      </c>
      <c r="AJ197" s="2">
        <f t="shared" si="104"/>
        <v>0</v>
      </c>
      <c r="AK197" s="2">
        <f t="shared" si="104"/>
        <v>169478.97</v>
      </c>
      <c r="AL197" s="2">
        <f t="shared" si="104"/>
        <v>24211.3</v>
      </c>
      <c r="AM197" s="2">
        <f t="shared" si="104"/>
        <v>0</v>
      </c>
      <c r="AN197" s="2">
        <f t="shared" si="104"/>
        <v>0</v>
      </c>
      <c r="AO197" s="2">
        <f t="shared" si="104"/>
        <v>0</v>
      </c>
      <c r="AP197" s="2">
        <f t="shared" si="104"/>
        <v>0</v>
      </c>
      <c r="AQ197" s="2">
        <f t="shared" si="104"/>
        <v>0</v>
      </c>
      <c r="AR197" s="2">
        <f t="shared" si="104"/>
        <v>1855869.7</v>
      </c>
      <c r="AS197" s="2">
        <f t="shared" si="104"/>
        <v>0</v>
      </c>
      <c r="AT197" s="2">
        <f t="shared" si="104"/>
        <v>0</v>
      </c>
      <c r="AU197" s="2">
        <f t="shared" ref="AU197:BZ197" si="105">AU230</f>
        <v>1855869.7</v>
      </c>
      <c r="AV197" s="2">
        <f t="shared" si="105"/>
        <v>1271603.55</v>
      </c>
      <c r="AW197" s="2">
        <f t="shared" si="105"/>
        <v>1271603.55</v>
      </c>
      <c r="AX197" s="2">
        <f t="shared" si="105"/>
        <v>0</v>
      </c>
      <c r="AY197" s="2">
        <f t="shared" si="105"/>
        <v>1271603.55</v>
      </c>
      <c r="AZ197" s="2">
        <f t="shared" si="105"/>
        <v>0</v>
      </c>
      <c r="BA197" s="2">
        <f t="shared" si="105"/>
        <v>0</v>
      </c>
      <c r="BB197" s="2">
        <f t="shared" si="105"/>
        <v>0</v>
      </c>
      <c r="BC197" s="2">
        <f t="shared" si="105"/>
        <v>0</v>
      </c>
      <c r="BD197" s="2">
        <f t="shared" si="105"/>
        <v>0</v>
      </c>
      <c r="BE197" s="2">
        <f t="shared" si="105"/>
        <v>0</v>
      </c>
      <c r="BF197" s="2">
        <f t="shared" si="105"/>
        <v>0</v>
      </c>
      <c r="BG197" s="2">
        <f t="shared" si="105"/>
        <v>0</v>
      </c>
      <c r="BH197" s="2">
        <f t="shared" si="105"/>
        <v>0</v>
      </c>
      <c r="BI197" s="2">
        <f t="shared" si="105"/>
        <v>0</v>
      </c>
      <c r="BJ197" s="2">
        <f t="shared" si="105"/>
        <v>0</v>
      </c>
      <c r="BK197" s="2">
        <f t="shared" si="105"/>
        <v>0</v>
      </c>
      <c r="BL197" s="2">
        <f t="shared" si="105"/>
        <v>0</v>
      </c>
      <c r="BM197" s="2">
        <f t="shared" si="105"/>
        <v>0</v>
      </c>
      <c r="BN197" s="2">
        <f t="shared" si="105"/>
        <v>0</v>
      </c>
      <c r="BO197" s="2">
        <f t="shared" si="105"/>
        <v>0</v>
      </c>
      <c r="BP197" s="2">
        <f t="shared" si="105"/>
        <v>0</v>
      </c>
      <c r="BQ197" s="2">
        <f t="shared" si="105"/>
        <v>0</v>
      </c>
      <c r="BR197" s="2">
        <f t="shared" si="105"/>
        <v>0</v>
      </c>
      <c r="BS197" s="2">
        <f t="shared" si="105"/>
        <v>0</v>
      </c>
      <c r="BT197" s="2">
        <f t="shared" si="105"/>
        <v>0</v>
      </c>
      <c r="BU197" s="2">
        <f t="shared" si="105"/>
        <v>0</v>
      </c>
      <c r="BV197" s="2">
        <f t="shared" si="105"/>
        <v>0</v>
      </c>
      <c r="BW197" s="2">
        <f t="shared" si="105"/>
        <v>0</v>
      </c>
      <c r="BX197" s="2">
        <f t="shared" si="105"/>
        <v>0</v>
      </c>
      <c r="BY197" s="2">
        <f t="shared" si="105"/>
        <v>0</v>
      </c>
      <c r="BZ197" s="2">
        <f t="shared" si="105"/>
        <v>0</v>
      </c>
      <c r="CA197" s="2">
        <f t="shared" ref="CA197:DF197" si="106">CA230</f>
        <v>1855869.7</v>
      </c>
      <c r="CB197" s="2">
        <f t="shared" si="106"/>
        <v>0</v>
      </c>
      <c r="CC197" s="2">
        <f t="shared" si="106"/>
        <v>0</v>
      </c>
      <c r="CD197" s="2">
        <f t="shared" si="106"/>
        <v>1855869.7</v>
      </c>
      <c r="CE197" s="2">
        <f t="shared" si="106"/>
        <v>1271603.55</v>
      </c>
      <c r="CF197" s="2">
        <f t="shared" si="106"/>
        <v>1271603.55</v>
      </c>
      <c r="CG197" s="2">
        <f t="shared" si="106"/>
        <v>0</v>
      </c>
      <c r="CH197" s="2">
        <f t="shared" si="106"/>
        <v>1271603.55</v>
      </c>
      <c r="CI197" s="2">
        <f t="shared" si="106"/>
        <v>0</v>
      </c>
      <c r="CJ197" s="2">
        <f t="shared" si="106"/>
        <v>0</v>
      </c>
      <c r="CK197" s="2">
        <f t="shared" si="106"/>
        <v>0</v>
      </c>
      <c r="CL197" s="2">
        <f t="shared" si="106"/>
        <v>0</v>
      </c>
      <c r="CM197" s="2">
        <f t="shared" si="106"/>
        <v>0</v>
      </c>
      <c r="CN197" s="2">
        <f t="shared" si="106"/>
        <v>0</v>
      </c>
      <c r="CO197" s="2">
        <f t="shared" si="106"/>
        <v>0</v>
      </c>
      <c r="CP197" s="2">
        <f t="shared" si="106"/>
        <v>0</v>
      </c>
      <c r="CQ197" s="2">
        <f t="shared" si="106"/>
        <v>0</v>
      </c>
      <c r="CR197" s="2">
        <f t="shared" si="106"/>
        <v>0</v>
      </c>
      <c r="CS197" s="2">
        <f t="shared" si="106"/>
        <v>0</v>
      </c>
      <c r="CT197" s="2">
        <f t="shared" si="106"/>
        <v>0</v>
      </c>
      <c r="CU197" s="2">
        <f t="shared" si="106"/>
        <v>0</v>
      </c>
      <c r="CV197" s="2">
        <f t="shared" si="106"/>
        <v>0</v>
      </c>
      <c r="CW197" s="2">
        <f t="shared" si="106"/>
        <v>0</v>
      </c>
      <c r="CX197" s="2">
        <f t="shared" si="106"/>
        <v>0</v>
      </c>
      <c r="CY197" s="2">
        <f t="shared" si="106"/>
        <v>0</v>
      </c>
      <c r="CZ197" s="2">
        <f t="shared" si="106"/>
        <v>0</v>
      </c>
      <c r="DA197" s="2">
        <f t="shared" si="106"/>
        <v>0</v>
      </c>
      <c r="DB197" s="2">
        <f t="shared" si="106"/>
        <v>0</v>
      </c>
      <c r="DC197" s="2">
        <f t="shared" si="106"/>
        <v>0</v>
      </c>
      <c r="DD197" s="2">
        <f t="shared" si="106"/>
        <v>0</v>
      </c>
      <c r="DE197" s="2">
        <f t="shared" si="106"/>
        <v>0</v>
      </c>
      <c r="DF197" s="2">
        <f t="shared" si="106"/>
        <v>0</v>
      </c>
      <c r="DG197" s="3">
        <f t="shared" ref="DG197:EL197" si="107">DG230</f>
        <v>0</v>
      </c>
      <c r="DH197" s="3">
        <f t="shared" si="107"/>
        <v>0</v>
      </c>
      <c r="DI197" s="3">
        <f t="shared" si="107"/>
        <v>0</v>
      </c>
      <c r="DJ197" s="3">
        <f t="shared" si="107"/>
        <v>0</v>
      </c>
      <c r="DK197" s="3">
        <f t="shared" si="107"/>
        <v>0</v>
      </c>
      <c r="DL197" s="3">
        <f t="shared" si="107"/>
        <v>0</v>
      </c>
      <c r="DM197" s="3">
        <f t="shared" si="107"/>
        <v>0</v>
      </c>
      <c r="DN197" s="3">
        <f t="shared" si="107"/>
        <v>0</v>
      </c>
      <c r="DO197" s="3">
        <f t="shared" si="107"/>
        <v>0</v>
      </c>
      <c r="DP197" s="3">
        <f t="shared" si="107"/>
        <v>0</v>
      </c>
      <c r="DQ197" s="3">
        <f t="shared" si="107"/>
        <v>0</v>
      </c>
      <c r="DR197" s="3">
        <f t="shared" si="107"/>
        <v>0</v>
      </c>
      <c r="DS197" s="3">
        <f t="shared" si="107"/>
        <v>0</v>
      </c>
      <c r="DT197" s="3">
        <f t="shared" si="107"/>
        <v>0</v>
      </c>
      <c r="DU197" s="3">
        <f t="shared" si="107"/>
        <v>0</v>
      </c>
      <c r="DV197" s="3">
        <f t="shared" si="107"/>
        <v>0</v>
      </c>
      <c r="DW197" s="3">
        <f t="shared" si="107"/>
        <v>0</v>
      </c>
      <c r="DX197" s="3">
        <f t="shared" si="107"/>
        <v>0</v>
      </c>
      <c r="DY197" s="3">
        <f t="shared" si="107"/>
        <v>0</v>
      </c>
      <c r="DZ197" s="3">
        <f t="shared" si="107"/>
        <v>0</v>
      </c>
      <c r="EA197" s="3">
        <f t="shared" si="107"/>
        <v>0</v>
      </c>
      <c r="EB197" s="3">
        <f t="shared" si="107"/>
        <v>0</v>
      </c>
      <c r="EC197" s="3">
        <f t="shared" si="107"/>
        <v>0</v>
      </c>
      <c r="ED197" s="3">
        <f t="shared" si="107"/>
        <v>0</v>
      </c>
      <c r="EE197" s="3">
        <f t="shared" si="107"/>
        <v>0</v>
      </c>
      <c r="EF197" s="3">
        <f t="shared" si="107"/>
        <v>0</v>
      </c>
      <c r="EG197" s="3">
        <f t="shared" si="107"/>
        <v>0</v>
      </c>
      <c r="EH197" s="3">
        <f t="shared" si="107"/>
        <v>0</v>
      </c>
      <c r="EI197" s="3">
        <f t="shared" si="107"/>
        <v>0</v>
      </c>
      <c r="EJ197" s="3">
        <f t="shared" si="107"/>
        <v>0</v>
      </c>
      <c r="EK197" s="3">
        <f t="shared" si="107"/>
        <v>0</v>
      </c>
      <c r="EL197" s="3">
        <f t="shared" si="107"/>
        <v>0</v>
      </c>
      <c r="EM197" s="3">
        <f t="shared" ref="EM197:FR197" si="108">EM230</f>
        <v>0</v>
      </c>
      <c r="EN197" s="3">
        <f t="shared" si="108"/>
        <v>0</v>
      </c>
      <c r="EO197" s="3">
        <f t="shared" si="108"/>
        <v>0</v>
      </c>
      <c r="EP197" s="3">
        <f t="shared" si="108"/>
        <v>0</v>
      </c>
      <c r="EQ197" s="3">
        <f t="shared" si="108"/>
        <v>0</v>
      </c>
      <c r="ER197" s="3">
        <f t="shared" si="108"/>
        <v>0</v>
      </c>
      <c r="ES197" s="3">
        <f t="shared" si="108"/>
        <v>0</v>
      </c>
      <c r="ET197" s="3">
        <f t="shared" si="108"/>
        <v>0</v>
      </c>
      <c r="EU197" s="3">
        <f t="shared" si="108"/>
        <v>0</v>
      </c>
      <c r="EV197" s="3">
        <f t="shared" si="108"/>
        <v>0</v>
      </c>
      <c r="EW197" s="3">
        <f t="shared" si="108"/>
        <v>0</v>
      </c>
      <c r="EX197" s="3">
        <f t="shared" si="108"/>
        <v>0</v>
      </c>
      <c r="EY197" s="3">
        <f t="shared" si="108"/>
        <v>0</v>
      </c>
      <c r="EZ197" s="3">
        <f t="shared" si="108"/>
        <v>0</v>
      </c>
      <c r="FA197" s="3">
        <f t="shared" si="108"/>
        <v>0</v>
      </c>
      <c r="FB197" s="3">
        <f t="shared" si="108"/>
        <v>0</v>
      </c>
      <c r="FC197" s="3">
        <f t="shared" si="108"/>
        <v>0</v>
      </c>
      <c r="FD197" s="3">
        <f t="shared" si="108"/>
        <v>0</v>
      </c>
      <c r="FE197" s="3">
        <f t="shared" si="108"/>
        <v>0</v>
      </c>
      <c r="FF197" s="3">
        <f t="shared" si="108"/>
        <v>0</v>
      </c>
      <c r="FG197" s="3">
        <f t="shared" si="108"/>
        <v>0</v>
      </c>
      <c r="FH197" s="3">
        <f t="shared" si="108"/>
        <v>0</v>
      </c>
      <c r="FI197" s="3">
        <f t="shared" si="108"/>
        <v>0</v>
      </c>
      <c r="FJ197" s="3">
        <f t="shared" si="108"/>
        <v>0</v>
      </c>
      <c r="FK197" s="3">
        <f t="shared" si="108"/>
        <v>0</v>
      </c>
      <c r="FL197" s="3">
        <f t="shared" si="108"/>
        <v>0</v>
      </c>
      <c r="FM197" s="3">
        <f t="shared" si="108"/>
        <v>0</v>
      </c>
      <c r="FN197" s="3">
        <f t="shared" si="108"/>
        <v>0</v>
      </c>
      <c r="FO197" s="3">
        <f t="shared" si="108"/>
        <v>0</v>
      </c>
      <c r="FP197" s="3">
        <f t="shared" si="108"/>
        <v>0</v>
      </c>
      <c r="FQ197" s="3">
        <f t="shared" si="108"/>
        <v>0</v>
      </c>
      <c r="FR197" s="3">
        <f t="shared" si="108"/>
        <v>0</v>
      </c>
      <c r="FS197" s="3">
        <f t="shared" ref="FS197:GX197" si="109">FS230</f>
        <v>0</v>
      </c>
      <c r="FT197" s="3">
        <f t="shared" si="109"/>
        <v>0</v>
      </c>
      <c r="FU197" s="3">
        <f t="shared" si="109"/>
        <v>0</v>
      </c>
      <c r="FV197" s="3">
        <f t="shared" si="109"/>
        <v>0</v>
      </c>
      <c r="FW197" s="3">
        <f t="shared" si="109"/>
        <v>0</v>
      </c>
      <c r="FX197" s="3">
        <f t="shared" si="109"/>
        <v>0</v>
      </c>
      <c r="FY197" s="3">
        <f t="shared" si="109"/>
        <v>0</v>
      </c>
      <c r="FZ197" s="3">
        <f t="shared" si="109"/>
        <v>0</v>
      </c>
      <c r="GA197" s="3">
        <f t="shared" si="109"/>
        <v>0</v>
      </c>
      <c r="GB197" s="3">
        <f t="shared" si="109"/>
        <v>0</v>
      </c>
      <c r="GC197" s="3">
        <f t="shared" si="109"/>
        <v>0</v>
      </c>
      <c r="GD197" s="3">
        <f t="shared" si="109"/>
        <v>0</v>
      </c>
      <c r="GE197" s="3">
        <f t="shared" si="109"/>
        <v>0</v>
      </c>
      <c r="GF197" s="3">
        <f t="shared" si="109"/>
        <v>0</v>
      </c>
      <c r="GG197" s="3">
        <f t="shared" si="109"/>
        <v>0</v>
      </c>
      <c r="GH197" s="3">
        <f t="shared" si="109"/>
        <v>0</v>
      </c>
      <c r="GI197" s="3">
        <f t="shared" si="109"/>
        <v>0</v>
      </c>
      <c r="GJ197" s="3">
        <f t="shared" si="109"/>
        <v>0</v>
      </c>
      <c r="GK197" s="3">
        <f t="shared" si="109"/>
        <v>0</v>
      </c>
      <c r="GL197" s="3">
        <f t="shared" si="109"/>
        <v>0</v>
      </c>
      <c r="GM197" s="3">
        <f t="shared" si="109"/>
        <v>0</v>
      </c>
      <c r="GN197" s="3">
        <f t="shared" si="109"/>
        <v>0</v>
      </c>
      <c r="GO197" s="3">
        <f t="shared" si="109"/>
        <v>0</v>
      </c>
      <c r="GP197" s="3">
        <f t="shared" si="109"/>
        <v>0</v>
      </c>
      <c r="GQ197" s="3">
        <f t="shared" si="109"/>
        <v>0</v>
      </c>
      <c r="GR197" s="3">
        <f t="shared" si="109"/>
        <v>0</v>
      </c>
      <c r="GS197" s="3">
        <f t="shared" si="109"/>
        <v>0</v>
      </c>
      <c r="GT197" s="3">
        <f t="shared" si="109"/>
        <v>0</v>
      </c>
      <c r="GU197" s="3">
        <f t="shared" si="109"/>
        <v>0</v>
      </c>
      <c r="GV197" s="3">
        <f t="shared" si="109"/>
        <v>0</v>
      </c>
      <c r="GW197" s="3">
        <f t="shared" si="109"/>
        <v>0</v>
      </c>
      <c r="GX197" s="3">
        <f t="shared" si="109"/>
        <v>0</v>
      </c>
    </row>
    <row r="199" spans="1:245" x14ac:dyDescent="0.2">
      <c r="A199">
        <v>17</v>
      </c>
      <c r="B199">
        <v>1</v>
      </c>
      <c r="C199">
        <f>ROW(SmtRes!A117)</f>
        <v>117</v>
      </c>
      <c r="D199">
        <f>ROW(EtalonRes!A114)</f>
        <v>114</v>
      </c>
      <c r="E199" t="s">
        <v>185</v>
      </c>
      <c r="F199" t="s">
        <v>106</v>
      </c>
      <c r="G199" t="s">
        <v>107</v>
      </c>
      <c r="H199" t="s">
        <v>108</v>
      </c>
      <c r="I199">
        <f>ROUND(75.75/100,9)</f>
        <v>0.75749999999999995</v>
      </c>
      <c r="J199">
        <v>0</v>
      </c>
      <c r="O199">
        <f t="shared" ref="O199:O228" si="110">ROUND(CP199,2)</f>
        <v>31777.96</v>
      </c>
      <c r="P199">
        <f t="shared" ref="P199:P228" si="111">ROUND(CQ199*I199,2)</f>
        <v>0</v>
      </c>
      <c r="Q199">
        <f t="shared" ref="Q199:Q228" si="112">ROUND(CR199*I199,2)</f>
        <v>0</v>
      </c>
      <c r="R199">
        <f t="shared" ref="R199:R228" si="113">ROUND(CS199*I199,2)</f>
        <v>0</v>
      </c>
      <c r="S199">
        <f t="shared" ref="S199:S228" si="114">ROUND(CT199*I199,2)</f>
        <v>31777.96</v>
      </c>
      <c r="T199">
        <f t="shared" ref="T199:T228" si="115">ROUND(CU199*I199,2)</f>
        <v>0</v>
      </c>
      <c r="U199">
        <f t="shared" ref="U199:U228" si="116">CV199*I199</f>
        <v>167.86199999999999</v>
      </c>
      <c r="V199">
        <f t="shared" ref="V199:V228" si="117">CW199*I199</f>
        <v>0</v>
      </c>
      <c r="W199">
        <f t="shared" ref="W199:W228" si="118">ROUND(CX199*I199,2)</f>
        <v>0</v>
      </c>
      <c r="X199">
        <f t="shared" ref="X199:X228" si="119">ROUND(CY199,2)</f>
        <v>22244.57</v>
      </c>
      <c r="Y199">
        <f t="shared" ref="Y199:Y228" si="120">ROUND(CZ199,2)</f>
        <v>3177.8</v>
      </c>
      <c r="AA199">
        <v>38799519</v>
      </c>
      <c r="AB199">
        <f t="shared" ref="AB199:AB228" si="121">ROUND((AC199+AD199+AF199),6)</f>
        <v>41951.1</v>
      </c>
      <c r="AC199">
        <f t="shared" ref="AC199:AC228" si="122">ROUND((ES199),6)</f>
        <v>0</v>
      </c>
      <c r="AD199">
        <f t="shared" ref="AD199:AD228" si="123">ROUND((((ET199)-(EU199))+AE199),6)</f>
        <v>0</v>
      </c>
      <c r="AE199">
        <f t="shared" ref="AE199:AE228" si="124">ROUND((EU199),6)</f>
        <v>0</v>
      </c>
      <c r="AF199">
        <f t="shared" ref="AF199:AF228" si="125">ROUND((EV199),6)</f>
        <v>41951.1</v>
      </c>
      <c r="AG199">
        <f t="shared" ref="AG199:AG228" si="126">ROUND((AP199),6)</f>
        <v>0</v>
      </c>
      <c r="AH199">
        <f t="shared" ref="AH199:AH228" si="127">(EW199)</f>
        <v>221.6</v>
      </c>
      <c r="AI199">
        <f t="shared" ref="AI199:AI228" si="128">(EX199)</f>
        <v>0</v>
      </c>
      <c r="AJ199">
        <f t="shared" ref="AJ199:AJ228" si="129">(AS199)</f>
        <v>0</v>
      </c>
      <c r="AK199">
        <v>41951.1</v>
      </c>
      <c r="AL199">
        <v>0</v>
      </c>
      <c r="AM199">
        <v>0</v>
      </c>
      <c r="AN199">
        <v>0</v>
      </c>
      <c r="AO199">
        <v>41951.1</v>
      </c>
      <c r="AP199">
        <v>0</v>
      </c>
      <c r="AQ199">
        <v>221.6</v>
      </c>
      <c r="AR199">
        <v>0</v>
      </c>
      <c r="AS199">
        <v>0</v>
      </c>
      <c r="AT199">
        <v>70</v>
      </c>
      <c r="AU199">
        <v>10</v>
      </c>
      <c r="AV199">
        <v>1</v>
      </c>
      <c r="AW199">
        <v>1</v>
      </c>
      <c r="AZ199">
        <v>1</v>
      </c>
      <c r="BA199">
        <v>1</v>
      </c>
      <c r="BB199">
        <v>1</v>
      </c>
      <c r="BC199">
        <v>1</v>
      </c>
      <c r="BD199" t="s">
        <v>3</v>
      </c>
      <c r="BE199" t="s">
        <v>3</v>
      </c>
      <c r="BF199" t="s">
        <v>3</v>
      </c>
      <c r="BG199" t="s">
        <v>3</v>
      </c>
      <c r="BH199">
        <v>0</v>
      </c>
      <c r="BI199">
        <v>4</v>
      </c>
      <c r="BJ199" t="s">
        <v>109</v>
      </c>
      <c r="BM199">
        <v>0</v>
      </c>
      <c r="BN199">
        <v>0</v>
      </c>
      <c r="BO199" t="s">
        <v>3</v>
      </c>
      <c r="BP199">
        <v>0</v>
      </c>
      <c r="BQ199">
        <v>1</v>
      </c>
      <c r="BR199">
        <v>0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 t="s">
        <v>3</v>
      </c>
      <c r="BZ199">
        <v>70</v>
      </c>
      <c r="CA199">
        <v>10</v>
      </c>
      <c r="CE199">
        <v>0</v>
      </c>
      <c r="CF199">
        <v>0</v>
      </c>
      <c r="CG199">
        <v>0</v>
      </c>
      <c r="CM199">
        <v>0</v>
      </c>
      <c r="CN199" t="s">
        <v>3</v>
      </c>
      <c r="CO199">
        <v>0</v>
      </c>
      <c r="CP199">
        <f t="shared" ref="CP199:CP228" si="130">(P199+Q199+S199)</f>
        <v>31777.96</v>
      </c>
      <c r="CQ199">
        <f t="shared" ref="CQ199:CQ228" si="131">(AC199*BC199*AW199)</f>
        <v>0</v>
      </c>
      <c r="CR199">
        <f t="shared" ref="CR199:CR228" si="132">((((ET199)*BB199-(EU199)*BS199)+AE199*BS199)*AV199)</f>
        <v>0</v>
      </c>
      <c r="CS199">
        <f t="shared" ref="CS199:CS228" si="133">(AE199*BS199*AV199)</f>
        <v>0</v>
      </c>
      <c r="CT199">
        <f t="shared" ref="CT199:CT228" si="134">(AF199*BA199*AV199)</f>
        <v>41951.1</v>
      </c>
      <c r="CU199">
        <f t="shared" ref="CU199:CU228" si="135">AG199</f>
        <v>0</v>
      </c>
      <c r="CV199">
        <f t="shared" ref="CV199:CV228" si="136">(AH199*AV199)</f>
        <v>221.6</v>
      </c>
      <c r="CW199">
        <f t="shared" ref="CW199:CW228" si="137">AI199</f>
        <v>0</v>
      </c>
      <c r="CX199">
        <f t="shared" ref="CX199:CX228" si="138">AJ199</f>
        <v>0</v>
      </c>
      <c r="CY199">
        <f t="shared" ref="CY199:CY228" si="139">((S199*BZ199)/100)</f>
        <v>22244.571999999996</v>
      </c>
      <c r="CZ199">
        <f t="shared" ref="CZ199:CZ228" si="140">((S199*CA199)/100)</f>
        <v>3177.7959999999998</v>
      </c>
      <c r="DC199" t="s">
        <v>3</v>
      </c>
      <c r="DD199" t="s">
        <v>3</v>
      </c>
      <c r="DE199" t="s">
        <v>3</v>
      </c>
      <c r="DF199" t="s">
        <v>3</v>
      </c>
      <c r="DG199" t="s">
        <v>3</v>
      </c>
      <c r="DH199" t="s">
        <v>3</v>
      </c>
      <c r="DI199" t="s">
        <v>3</v>
      </c>
      <c r="DJ199" t="s">
        <v>3</v>
      </c>
      <c r="DK199" t="s">
        <v>3</v>
      </c>
      <c r="DL199" t="s">
        <v>3</v>
      </c>
      <c r="DM199" t="s">
        <v>3</v>
      </c>
      <c r="DN199">
        <v>0</v>
      </c>
      <c r="DO199">
        <v>0</v>
      </c>
      <c r="DP199">
        <v>1</v>
      </c>
      <c r="DQ199">
        <v>1</v>
      </c>
      <c r="DU199">
        <v>1007</v>
      </c>
      <c r="DV199" t="s">
        <v>108</v>
      </c>
      <c r="DW199" t="s">
        <v>108</v>
      </c>
      <c r="DX199">
        <v>100</v>
      </c>
      <c r="EE199">
        <v>38447819</v>
      </c>
      <c r="EF199">
        <v>1</v>
      </c>
      <c r="EG199" t="s">
        <v>23</v>
      </c>
      <c r="EH199">
        <v>0</v>
      </c>
      <c r="EI199" t="s">
        <v>3</v>
      </c>
      <c r="EJ199">
        <v>4</v>
      </c>
      <c r="EK199">
        <v>0</v>
      </c>
      <c r="EL199" t="s">
        <v>24</v>
      </c>
      <c r="EM199" t="s">
        <v>25</v>
      </c>
      <c r="EO199" t="s">
        <v>3</v>
      </c>
      <c r="EQ199">
        <v>0</v>
      </c>
      <c r="ER199">
        <v>41951.1</v>
      </c>
      <c r="ES199">
        <v>0</v>
      </c>
      <c r="ET199">
        <v>0</v>
      </c>
      <c r="EU199">
        <v>0</v>
      </c>
      <c r="EV199">
        <v>41951.1</v>
      </c>
      <c r="EW199">
        <v>221.6</v>
      </c>
      <c r="EX199">
        <v>0</v>
      </c>
      <c r="EY199">
        <v>0</v>
      </c>
      <c r="FQ199">
        <v>0</v>
      </c>
      <c r="FR199">
        <f t="shared" ref="FR199:FR228" si="141">ROUND(IF(AND(BH199=3,BI199=3),P199,0),2)</f>
        <v>0</v>
      </c>
      <c r="FS199">
        <v>0</v>
      </c>
      <c r="FX199">
        <v>70</v>
      </c>
      <c r="FY199">
        <v>10</v>
      </c>
      <c r="GA199" t="s">
        <v>3</v>
      </c>
      <c r="GD199">
        <v>0</v>
      </c>
      <c r="GF199">
        <v>1840361055</v>
      </c>
      <c r="GG199">
        <v>2</v>
      </c>
      <c r="GH199">
        <v>1</v>
      </c>
      <c r="GI199">
        <v>-2</v>
      </c>
      <c r="GJ199">
        <v>0</v>
      </c>
      <c r="GK199">
        <f>ROUND(R199*(R12)/100,2)</f>
        <v>0</v>
      </c>
      <c r="GL199">
        <f t="shared" ref="GL199:GL228" si="142">ROUND(IF(AND(BH199=3,BI199=3,FS199&lt;&gt;0),P199,0),2)</f>
        <v>0</v>
      </c>
      <c r="GM199">
        <f t="shared" ref="GM199:GM228" si="143">ROUND(O199+X199+Y199+GK199,2)+GX199</f>
        <v>57200.33</v>
      </c>
      <c r="GN199">
        <f t="shared" ref="GN199:GN228" si="144">IF(OR(BI199=0,BI199=1),ROUND(O199+X199+Y199+GK199,2),0)</f>
        <v>0</v>
      </c>
      <c r="GO199">
        <f t="shared" ref="GO199:GO228" si="145">IF(BI199=2,ROUND(O199+X199+Y199+GK199,2),0)</f>
        <v>0</v>
      </c>
      <c r="GP199">
        <f t="shared" ref="GP199:GP228" si="146">IF(BI199=4,ROUND(O199+X199+Y199+GK199,2)+GX199,0)</f>
        <v>57200.33</v>
      </c>
      <c r="GR199">
        <v>0</v>
      </c>
      <c r="GS199">
        <v>3</v>
      </c>
      <c r="GT199">
        <v>0</v>
      </c>
      <c r="GU199" t="s">
        <v>3</v>
      </c>
      <c r="GV199">
        <f t="shared" ref="GV199:GV228" si="147">ROUND((GT199),6)</f>
        <v>0</v>
      </c>
      <c r="GW199">
        <v>1</v>
      </c>
      <c r="GX199">
        <f t="shared" ref="GX199:GX228" si="148">ROUND(HC199*I199,2)</f>
        <v>0</v>
      </c>
      <c r="HA199">
        <v>0</v>
      </c>
      <c r="HB199">
        <v>0</v>
      </c>
      <c r="HC199">
        <f t="shared" ref="HC199:HC228" si="149">GV199*GW199</f>
        <v>0</v>
      </c>
      <c r="HE199" t="s">
        <v>3</v>
      </c>
      <c r="HF199" t="s">
        <v>3</v>
      </c>
      <c r="IK199">
        <v>0</v>
      </c>
    </row>
    <row r="200" spans="1:245" x14ac:dyDescent="0.2">
      <c r="A200">
        <v>17</v>
      </c>
      <c r="B200">
        <v>1</v>
      </c>
      <c r="C200">
        <f>ROW(SmtRes!A120)</f>
        <v>120</v>
      </c>
      <c r="D200">
        <f>ROW(EtalonRes!A117)</f>
        <v>117</v>
      </c>
      <c r="E200" t="s">
        <v>186</v>
      </c>
      <c r="F200" t="s">
        <v>111</v>
      </c>
      <c r="G200" t="s">
        <v>112</v>
      </c>
      <c r="H200" t="s">
        <v>108</v>
      </c>
      <c r="I200">
        <f>ROUND(75.75/100,9)</f>
        <v>0.75749999999999995</v>
      </c>
      <c r="J200">
        <v>0</v>
      </c>
      <c r="O200">
        <f t="shared" si="110"/>
        <v>9335.3700000000008</v>
      </c>
      <c r="P200">
        <f t="shared" si="111"/>
        <v>0</v>
      </c>
      <c r="Q200">
        <f t="shared" si="112"/>
        <v>7433.42</v>
      </c>
      <c r="R200">
        <f t="shared" si="113"/>
        <v>4231.08</v>
      </c>
      <c r="S200">
        <f t="shared" si="114"/>
        <v>1901.95</v>
      </c>
      <c r="T200">
        <f t="shared" si="115"/>
        <v>0</v>
      </c>
      <c r="U200">
        <f t="shared" si="116"/>
        <v>9.4081499999999991</v>
      </c>
      <c r="V200">
        <f t="shared" si="117"/>
        <v>0</v>
      </c>
      <c r="W200">
        <f t="shared" si="118"/>
        <v>0</v>
      </c>
      <c r="X200">
        <f t="shared" si="119"/>
        <v>1331.37</v>
      </c>
      <c r="Y200">
        <f t="shared" si="120"/>
        <v>190.2</v>
      </c>
      <c r="AA200">
        <v>38799519</v>
      </c>
      <c r="AB200">
        <f t="shared" si="121"/>
        <v>12323.93</v>
      </c>
      <c r="AC200">
        <f t="shared" si="122"/>
        <v>0</v>
      </c>
      <c r="AD200">
        <f t="shared" si="123"/>
        <v>9813.1</v>
      </c>
      <c r="AE200">
        <f t="shared" si="124"/>
        <v>5585.58</v>
      </c>
      <c r="AF200">
        <f t="shared" si="125"/>
        <v>2510.83</v>
      </c>
      <c r="AG200">
        <f t="shared" si="126"/>
        <v>0</v>
      </c>
      <c r="AH200">
        <f t="shared" si="127"/>
        <v>12.42</v>
      </c>
      <c r="AI200">
        <f t="shared" si="128"/>
        <v>0</v>
      </c>
      <c r="AJ200">
        <f t="shared" si="129"/>
        <v>0</v>
      </c>
      <c r="AK200">
        <v>12323.93</v>
      </c>
      <c r="AL200">
        <v>0</v>
      </c>
      <c r="AM200">
        <v>9813.1</v>
      </c>
      <c r="AN200">
        <v>5585.58</v>
      </c>
      <c r="AO200">
        <v>2510.83</v>
      </c>
      <c r="AP200">
        <v>0</v>
      </c>
      <c r="AQ200">
        <v>12.42</v>
      </c>
      <c r="AR200">
        <v>0</v>
      </c>
      <c r="AS200">
        <v>0</v>
      </c>
      <c r="AT200">
        <v>70</v>
      </c>
      <c r="AU200">
        <v>10</v>
      </c>
      <c r="AV200">
        <v>1</v>
      </c>
      <c r="AW200">
        <v>1</v>
      </c>
      <c r="AZ200">
        <v>1</v>
      </c>
      <c r="BA200">
        <v>1</v>
      </c>
      <c r="BB200">
        <v>1</v>
      </c>
      <c r="BC200">
        <v>1</v>
      </c>
      <c r="BD200" t="s">
        <v>3</v>
      </c>
      <c r="BE200" t="s">
        <v>3</v>
      </c>
      <c r="BF200" t="s">
        <v>3</v>
      </c>
      <c r="BG200" t="s">
        <v>3</v>
      </c>
      <c r="BH200">
        <v>0</v>
      </c>
      <c r="BI200">
        <v>4</v>
      </c>
      <c r="BJ200" t="s">
        <v>113</v>
      </c>
      <c r="BM200">
        <v>0</v>
      </c>
      <c r="BN200">
        <v>0</v>
      </c>
      <c r="BO200" t="s">
        <v>3</v>
      </c>
      <c r="BP200">
        <v>0</v>
      </c>
      <c r="BQ200">
        <v>1</v>
      </c>
      <c r="BR200">
        <v>0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 t="s">
        <v>3</v>
      </c>
      <c r="BZ200">
        <v>70</v>
      </c>
      <c r="CA200">
        <v>10</v>
      </c>
      <c r="CE200">
        <v>0</v>
      </c>
      <c r="CF200">
        <v>0</v>
      </c>
      <c r="CG200">
        <v>0</v>
      </c>
      <c r="CM200">
        <v>0</v>
      </c>
      <c r="CN200" t="s">
        <v>3</v>
      </c>
      <c r="CO200">
        <v>0</v>
      </c>
      <c r="CP200">
        <f t="shared" si="130"/>
        <v>9335.3700000000008</v>
      </c>
      <c r="CQ200">
        <f t="shared" si="131"/>
        <v>0</v>
      </c>
      <c r="CR200">
        <f t="shared" si="132"/>
        <v>9813.1</v>
      </c>
      <c r="CS200">
        <f t="shared" si="133"/>
        <v>5585.58</v>
      </c>
      <c r="CT200">
        <f t="shared" si="134"/>
        <v>2510.83</v>
      </c>
      <c r="CU200">
        <f t="shared" si="135"/>
        <v>0</v>
      </c>
      <c r="CV200">
        <f t="shared" si="136"/>
        <v>12.42</v>
      </c>
      <c r="CW200">
        <f t="shared" si="137"/>
        <v>0</v>
      </c>
      <c r="CX200">
        <f t="shared" si="138"/>
        <v>0</v>
      </c>
      <c r="CY200">
        <f t="shared" si="139"/>
        <v>1331.365</v>
      </c>
      <c r="CZ200">
        <f t="shared" si="140"/>
        <v>190.19499999999999</v>
      </c>
      <c r="DC200" t="s">
        <v>3</v>
      </c>
      <c r="DD200" t="s">
        <v>3</v>
      </c>
      <c r="DE200" t="s">
        <v>3</v>
      </c>
      <c r="DF200" t="s">
        <v>3</v>
      </c>
      <c r="DG200" t="s">
        <v>3</v>
      </c>
      <c r="DH200" t="s">
        <v>3</v>
      </c>
      <c r="DI200" t="s">
        <v>3</v>
      </c>
      <c r="DJ200" t="s">
        <v>3</v>
      </c>
      <c r="DK200" t="s">
        <v>3</v>
      </c>
      <c r="DL200" t="s">
        <v>3</v>
      </c>
      <c r="DM200" t="s">
        <v>3</v>
      </c>
      <c r="DN200">
        <v>0</v>
      </c>
      <c r="DO200">
        <v>0</v>
      </c>
      <c r="DP200">
        <v>1</v>
      </c>
      <c r="DQ200">
        <v>1</v>
      </c>
      <c r="DU200">
        <v>1007</v>
      </c>
      <c r="DV200" t="s">
        <v>108</v>
      </c>
      <c r="DW200" t="s">
        <v>108</v>
      </c>
      <c r="DX200">
        <v>100</v>
      </c>
      <c r="EE200">
        <v>38447819</v>
      </c>
      <c r="EF200">
        <v>1</v>
      </c>
      <c r="EG200" t="s">
        <v>23</v>
      </c>
      <c r="EH200">
        <v>0</v>
      </c>
      <c r="EI200" t="s">
        <v>3</v>
      </c>
      <c r="EJ200">
        <v>4</v>
      </c>
      <c r="EK200">
        <v>0</v>
      </c>
      <c r="EL200" t="s">
        <v>24</v>
      </c>
      <c r="EM200" t="s">
        <v>25</v>
      </c>
      <c r="EO200" t="s">
        <v>3</v>
      </c>
      <c r="EQ200">
        <v>0</v>
      </c>
      <c r="ER200">
        <v>12323.93</v>
      </c>
      <c r="ES200">
        <v>0</v>
      </c>
      <c r="ET200">
        <v>9813.1</v>
      </c>
      <c r="EU200">
        <v>5585.58</v>
      </c>
      <c r="EV200">
        <v>2510.83</v>
      </c>
      <c r="EW200">
        <v>12.42</v>
      </c>
      <c r="EX200">
        <v>0</v>
      </c>
      <c r="EY200">
        <v>0</v>
      </c>
      <c r="FQ200">
        <v>0</v>
      </c>
      <c r="FR200">
        <f t="shared" si="141"/>
        <v>0</v>
      </c>
      <c r="FS200">
        <v>0</v>
      </c>
      <c r="FX200">
        <v>70</v>
      </c>
      <c r="FY200">
        <v>10</v>
      </c>
      <c r="GA200" t="s">
        <v>3</v>
      </c>
      <c r="GD200">
        <v>0</v>
      </c>
      <c r="GF200">
        <v>2042491532</v>
      </c>
      <c r="GG200">
        <v>2</v>
      </c>
      <c r="GH200">
        <v>1</v>
      </c>
      <c r="GI200">
        <v>-2</v>
      </c>
      <c r="GJ200">
        <v>0</v>
      </c>
      <c r="GK200">
        <f>ROUND(R200*(R12)/100,2)</f>
        <v>4569.57</v>
      </c>
      <c r="GL200">
        <f t="shared" si="142"/>
        <v>0</v>
      </c>
      <c r="GM200">
        <f t="shared" si="143"/>
        <v>15426.51</v>
      </c>
      <c r="GN200">
        <f t="shared" si="144"/>
        <v>0</v>
      </c>
      <c r="GO200">
        <f t="shared" si="145"/>
        <v>0</v>
      </c>
      <c r="GP200">
        <f t="shared" si="146"/>
        <v>15426.51</v>
      </c>
      <c r="GR200">
        <v>0</v>
      </c>
      <c r="GS200">
        <v>3</v>
      </c>
      <c r="GT200">
        <v>0</v>
      </c>
      <c r="GU200" t="s">
        <v>3</v>
      </c>
      <c r="GV200">
        <f t="shared" si="147"/>
        <v>0</v>
      </c>
      <c r="GW200">
        <v>1</v>
      </c>
      <c r="GX200">
        <f t="shared" si="148"/>
        <v>0</v>
      </c>
      <c r="HA200">
        <v>0</v>
      </c>
      <c r="HB200">
        <v>0</v>
      </c>
      <c r="HC200">
        <f t="shared" si="149"/>
        <v>0</v>
      </c>
      <c r="HE200" t="s">
        <v>3</v>
      </c>
      <c r="HF200" t="s">
        <v>3</v>
      </c>
      <c r="IK200">
        <v>0</v>
      </c>
    </row>
    <row r="201" spans="1:245" x14ac:dyDescent="0.2">
      <c r="A201">
        <v>17</v>
      </c>
      <c r="B201">
        <v>1</v>
      </c>
      <c r="C201">
        <f>ROW(SmtRes!A124)</f>
        <v>124</v>
      </c>
      <c r="D201">
        <f>ROW(EtalonRes!A121)</f>
        <v>121</v>
      </c>
      <c r="E201" t="s">
        <v>187</v>
      </c>
      <c r="F201" t="s">
        <v>115</v>
      </c>
      <c r="G201" t="s">
        <v>116</v>
      </c>
      <c r="H201" t="s">
        <v>35</v>
      </c>
      <c r="I201">
        <v>60.6</v>
      </c>
      <c r="J201">
        <v>0</v>
      </c>
      <c r="O201">
        <f t="shared" si="110"/>
        <v>100383.29</v>
      </c>
      <c r="P201">
        <f t="shared" si="111"/>
        <v>40097.199999999997</v>
      </c>
      <c r="Q201">
        <f t="shared" si="112"/>
        <v>17223.73</v>
      </c>
      <c r="R201">
        <f t="shared" si="113"/>
        <v>9803.8700000000008</v>
      </c>
      <c r="S201">
        <f t="shared" si="114"/>
        <v>43062.36</v>
      </c>
      <c r="T201">
        <f t="shared" si="115"/>
        <v>0</v>
      </c>
      <c r="U201">
        <f t="shared" si="116"/>
        <v>208.464</v>
      </c>
      <c r="V201">
        <f t="shared" si="117"/>
        <v>0</v>
      </c>
      <c r="W201">
        <f t="shared" si="118"/>
        <v>0</v>
      </c>
      <c r="X201">
        <f t="shared" si="119"/>
        <v>30143.65</v>
      </c>
      <c r="Y201">
        <f t="shared" si="120"/>
        <v>4306.24</v>
      </c>
      <c r="AA201">
        <v>38799519</v>
      </c>
      <c r="AB201">
        <f t="shared" si="121"/>
        <v>1656.49</v>
      </c>
      <c r="AC201">
        <f t="shared" si="122"/>
        <v>661.67</v>
      </c>
      <c r="AD201">
        <f t="shared" si="123"/>
        <v>284.22000000000003</v>
      </c>
      <c r="AE201">
        <f t="shared" si="124"/>
        <v>161.78</v>
      </c>
      <c r="AF201">
        <f t="shared" si="125"/>
        <v>710.6</v>
      </c>
      <c r="AG201">
        <f t="shared" si="126"/>
        <v>0</v>
      </c>
      <c r="AH201">
        <f t="shared" si="127"/>
        <v>3.44</v>
      </c>
      <c r="AI201">
        <f t="shared" si="128"/>
        <v>0</v>
      </c>
      <c r="AJ201">
        <f t="shared" si="129"/>
        <v>0</v>
      </c>
      <c r="AK201">
        <v>1656.49</v>
      </c>
      <c r="AL201">
        <v>661.67</v>
      </c>
      <c r="AM201">
        <v>284.22000000000003</v>
      </c>
      <c r="AN201">
        <v>161.78</v>
      </c>
      <c r="AO201">
        <v>710.6</v>
      </c>
      <c r="AP201">
        <v>0</v>
      </c>
      <c r="AQ201">
        <v>3.44</v>
      </c>
      <c r="AR201">
        <v>0</v>
      </c>
      <c r="AS201">
        <v>0</v>
      </c>
      <c r="AT201">
        <v>70</v>
      </c>
      <c r="AU201">
        <v>10</v>
      </c>
      <c r="AV201">
        <v>1</v>
      </c>
      <c r="AW201">
        <v>1</v>
      </c>
      <c r="AZ201">
        <v>1</v>
      </c>
      <c r="BA201">
        <v>1</v>
      </c>
      <c r="BB201">
        <v>1</v>
      </c>
      <c r="BC201">
        <v>1</v>
      </c>
      <c r="BD201" t="s">
        <v>3</v>
      </c>
      <c r="BE201" t="s">
        <v>3</v>
      </c>
      <c r="BF201" t="s">
        <v>3</v>
      </c>
      <c r="BG201" t="s">
        <v>3</v>
      </c>
      <c r="BH201">
        <v>0</v>
      </c>
      <c r="BI201">
        <v>4</v>
      </c>
      <c r="BJ201" t="s">
        <v>117</v>
      </c>
      <c r="BM201">
        <v>0</v>
      </c>
      <c r="BN201">
        <v>0</v>
      </c>
      <c r="BO201" t="s">
        <v>3</v>
      </c>
      <c r="BP201">
        <v>0</v>
      </c>
      <c r="BQ201">
        <v>1</v>
      </c>
      <c r="BR201">
        <v>0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 t="s">
        <v>3</v>
      </c>
      <c r="BZ201">
        <v>70</v>
      </c>
      <c r="CA201">
        <v>10</v>
      </c>
      <c r="CE201">
        <v>0</v>
      </c>
      <c r="CF201">
        <v>0</v>
      </c>
      <c r="CG201">
        <v>0</v>
      </c>
      <c r="CM201">
        <v>0</v>
      </c>
      <c r="CN201" t="s">
        <v>3</v>
      </c>
      <c r="CO201">
        <v>0</v>
      </c>
      <c r="CP201">
        <f t="shared" si="130"/>
        <v>100383.29</v>
      </c>
      <c r="CQ201">
        <f t="shared" si="131"/>
        <v>661.67</v>
      </c>
      <c r="CR201">
        <f t="shared" si="132"/>
        <v>284.22000000000003</v>
      </c>
      <c r="CS201">
        <f t="shared" si="133"/>
        <v>161.78</v>
      </c>
      <c r="CT201">
        <f t="shared" si="134"/>
        <v>710.6</v>
      </c>
      <c r="CU201">
        <f t="shared" si="135"/>
        <v>0</v>
      </c>
      <c r="CV201">
        <f t="shared" si="136"/>
        <v>3.44</v>
      </c>
      <c r="CW201">
        <f t="shared" si="137"/>
        <v>0</v>
      </c>
      <c r="CX201">
        <f t="shared" si="138"/>
        <v>0</v>
      </c>
      <c r="CY201">
        <f t="shared" si="139"/>
        <v>30143.652000000002</v>
      </c>
      <c r="CZ201">
        <f t="shared" si="140"/>
        <v>4306.2359999999999</v>
      </c>
      <c r="DC201" t="s">
        <v>3</v>
      </c>
      <c r="DD201" t="s">
        <v>3</v>
      </c>
      <c r="DE201" t="s">
        <v>3</v>
      </c>
      <c r="DF201" t="s">
        <v>3</v>
      </c>
      <c r="DG201" t="s">
        <v>3</v>
      </c>
      <c r="DH201" t="s">
        <v>3</v>
      </c>
      <c r="DI201" t="s">
        <v>3</v>
      </c>
      <c r="DJ201" t="s">
        <v>3</v>
      </c>
      <c r="DK201" t="s">
        <v>3</v>
      </c>
      <c r="DL201" t="s">
        <v>3</v>
      </c>
      <c r="DM201" t="s">
        <v>3</v>
      </c>
      <c r="DN201">
        <v>0</v>
      </c>
      <c r="DO201">
        <v>0</v>
      </c>
      <c r="DP201">
        <v>1</v>
      </c>
      <c r="DQ201">
        <v>1</v>
      </c>
      <c r="DU201">
        <v>1007</v>
      </c>
      <c r="DV201" t="s">
        <v>35</v>
      </c>
      <c r="DW201" t="s">
        <v>35</v>
      </c>
      <c r="DX201">
        <v>1</v>
      </c>
      <c r="EE201">
        <v>38447819</v>
      </c>
      <c r="EF201">
        <v>1</v>
      </c>
      <c r="EG201" t="s">
        <v>23</v>
      </c>
      <c r="EH201">
        <v>0</v>
      </c>
      <c r="EI201" t="s">
        <v>3</v>
      </c>
      <c r="EJ201">
        <v>4</v>
      </c>
      <c r="EK201">
        <v>0</v>
      </c>
      <c r="EL201" t="s">
        <v>24</v>
      </c>
      <c r="EM201" t="s">
        <v>25</v>
      </c>
      <c r="EO201" t="s">
        <v>3</v>
      </c>
      <c r="EQ201">
        <v>0</v>
      </c>
      <c r="ER201">
        <v>1656.49</v>
      </c>
      <c r="ES201">
        <v>661.67</v>
      </c>
      <c r="ET201">
        <v>284.22000000000003</v>
      </c>
      <c r="EU201">
        <v>161.78</v>
      </c>
      <c r="EV201">
        <v>710.6</v>
      </c>
      <c r="EW201">
        <v>3.44</v>
      </c>
      <c r="EX201">
        <v>0</v>
      </c>
      <c r="EY201">
        <v>0</v>
      </c>
      <c r="FQ201">
        <v>0</v>
      </c>
      <c r="FR201">
        <f t="shared" si="141"/>
        <v>0</v>
      </c>
      <c r="FS201">
        <v>0</v>
      </c>
      <c r="FX201">
        <v>70</v>
      </c>
      <c r="FY201">
        <v>10</v>
      </c>
      <c r="GA201" t="s">
        <v>3</v>
      </c>
      <c r="GD201">
        <v>0</v>
      </c>
      <c r="GF201">
        <v>682657772</v>
      </c>
      <c r="GG201">
        <v>2</v>
      </c>
      <c r="GH201">
        <v>1</v>
      </c>
      <c r="GI201">
        <v>-2</v>
      </c>
      <c r="GJ201">
        <v>0</v>
      </c>
      <c r="GK201">
        <f>ROUND(R201*(R12)/100,2)</f>
        <v>10588.18</v>
      </c>
      <c r="GL201">
        <f t="shared" si="142"/>
        <v>0</v>
      </c>
      <c r="GM201">
        <f t="shared" si="143"/>
        <v>145421.35999999999</v>
      </c>
      <c r="GN201">
        <f t="shared" si="144"/>
        <v>0</v>
      </c>
      <c r="GO201">
        <f t="shared" si="145"/>
        <v>0</v>
      </c>
      <c r="GP201">
        <f t="shared" si="146"/>
        <v>145421.35999999999</v>
      </c>
      <c r="GR201">
        <v>0</v>
      </c>
      <c r="GS201">
        <v>3</v>
      </c>
      <c r="GT201">
        <v>0</v>
      </c>
      <c r="GU201" t="s">
        <v>3</v>
      </c>
      <c r="GV201">
        <f t="shared" si="147"/>
        <v>0</v>
      </c>
      <c r="GW201">
        <v>1</v>
      </c>
      <c r="GX201">
        <f t="shared" si="148"/>
        <v>0</v>
      </c>
      <c r="HA201">
        <v>0</v>
      </c>
      <c r="HB201">
        <v>0</v>
      </c>
      <c r="HC201">
        <f t="shared" si="149"/>
        <v>0</v>
      </c>
      <c r="HE201" t="s">
        <v>3</v>
      </c>
      <c r="HF201" t="s">
        <v>3</v>
      </c>
      <c r="IK201">
        <v>0</v>
      </c>
    </row>
    <row r="202" spans="1:245" x14ac:dyDescent="0.2">
      <c r="A202">
        <v>17</v>
      </c>
      <c r="B202">
        <v>1</v>
      </c>
      <c r="C202">
        <f>ROW(SmtRes!A128)</f>
        <v>128</v>
      </c>
      <c r="D202">
        <f>ROW(EtalonRes!A124)</f>
        <v>124</v>
      </c>
      <c r="E202" t="s">
        <v>188</v>
      </c>
      <c r="F202" t="s">
        <v>119</v>
      </c>
      <c r="G202" t="s">
        <v>120</v>
      </c>
      <c r="H202" t="s">
        <v>121</v>
      </c>
      <c r="I202">
        <v>163</v>
      </c>
      <c r="J202">
        <v>0</v>
      </c>
      <c r="O202">
        <f t="shared" si="110"/>
        <v>95894.53</v>
      </c>
      <c r="P202">
        <f t="shared" si="111"/>
        <v>49035.29</v>
      </c>
      <c r="Q202">
        <f t="shared" si="112"/>
        <v>0</v>
      </c>
      <c r="R202">
        <f t="shared" si="113"/>
        <v>0</v>
      </c>
      <c r="S202">
        <f t="shared" si="114"/>
        <v>46859.24</v>
      </c>
      <c r="T202">
        <f t="shared" si="115"/>
        <v>0</v>
      </c>
      <c r="U202">
        <f t="shared" si="116"/>
        <v>187.45</v>
      </c>
      <c r="V202">
        <f t="shared" si="117"/>
        <v>0</v>
      </c>
      <c r="W202">
        <f t="shared" si="118"/>
        <v>0</v>
      </c>
      <c r="X202">
        <f t="shared" si="119"/>
        <v>32801.47</v>
      </c>
      <c r="Y202">
        <f t="shared" si="120"/>
        <v>4685.92</v>
      </c>
      <c r="AA202">
        <v>38799519</v>
      </c>
      <c r="AB202">
        <f t="shared" si="121"/>
        <v>588.30999999999995</v>
      </c>
      <c r="AC202">
        <f t="shared" si="122"/>
        <v>300.83</v>
      </c>
      <c r="AD202">
        <f t="shared" si="123"/>
        <v>0</v>
      </c>
      <c r="AE202">
        <f t="shared" si="124"/>
        <v>0</v>
      </c>
      <c r="AF202">
        <f t="shared" si="125"/>
        <v>287.48</v>
      </c>
      <c r="AG202">
        <f t="shared" si="126"/>
        <v>0</v>
      </c>
      <c r="AH202">
        <f t="shared" si="127"/>
        <v>1.1499999999999999</v>
      </c>
      <c r="AI202">
        <f t="shared" si="128"/>
        <v>0</v>
      </c>
      <c r="AJ202">
        <f t="shared" si="129"/>
        <v>0</v>
      </c>
      <c r="AK202">
        <v>588.30999999999995</v>
      </c>
      <c r="AL202">
        <v>300.83</v>
      </c>
      <c r="AM202">
        <v>0</v>
      </c>
      <c r="AN202">
        <v>0</v>
      </c>
      <c r="AO202">
        <v>287.48</v>
      </c>
      <c r="AP202">
        <v>0</v>
      </c>
      <c r="AQ202">
        <v>1.1499999999999999</v>
      </c>
      <c r="AR202">
        <v>0</v>
      </c>
      <c r="AS202">
        <v>0</v>
      </c>
      <c r="AT202">
        <v>70</v>
      </c>
      <c r="AU202">
        <v>10</v>
      </c>
      <c r="AV202">
        <v>1</v>
      </c>
      <c r="AW202">
        <v>1</v>
      </c>
      <c r="AZ202">
        <v>1</v>
      </c>
      <c r="BA202">
        <v>1</v>
      </c>
      <c r="BB202">
        <v>1</v>
      </c>
      <c r="BC202">
        <v>1</v>
      </c>
      <c r="BD202" t="s">
        <v>3</v>
      </c>
      <c r="BE202" t="s">
        <v>3</v>
      </c>
      <c r="BF202" t="s">
        <v>3</v>
      </c>
      <c r="BG202" t="s">
        <v>3</v>
      </c>
      <c r="BH202">
        <v>0</v>
      </c>
      <c r="BI202">
        <v>4</v>
      </c>
      <c r="BJ202" t="s">
        <v>122</v>
      </c>
      <c r="BM202">
        <v>0</v>
      </c>
      <c r="BN202">
        <v>0</v>
      </c>
      <c r="BO202" t="s">
        <v>3</v>
      </c>
      <c r="BP202">
        <v>0</v>
      </c>
      <c r="BQ202">
        <v>1</v>
      </c>
      <c r="BR202">
        <v>0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 t="s">
        <v>3</v>
      </c>
      <c r="BZ202">
        <v>70</v>
      </c>
      <c r="CA202">
        <v>10</v>
      </c>
      <c r="CE202">
        <v>0</v>
      </c>
      <c r="CF202">
        <v>0</v>
      </c>
      <c r="CG202">
        <v>0</v>
      </c>
      <c r="CM202">
        <v>0</v>
      </c>
      <c r="CN202" t="s">
        <v>3</v>
      </c>
      <c r="CO202">
        <v>0</v>
      </c>
      <c r="CP202">
        <f t="shared" si="130"/>
        <v>95894.53</v>
      </c>
      <c r="CQ202">
        <f t="shared" si="131"/>
        <v>300.83</v>
      </c>
      <c r="CR202">
        <f t="shared" si="132"/>
        <v>0</v>
      </c>
      <c r="CS202">
        <f t="shared" si="133"/>
        <v>0</v>
      </c>
      <c r="CT202">
        <f t="shared" si="134"/>
        <v>287.48</v>
      </c>
      <c r="CU202">
        <f t="shared" si="135"/>
        <v>0</v>
      </c>
      <c r="CV202">
        <f t="shared" si="136"/>
        <v>1.1499999999999999</v>
      </c>
      <c r="CW202">
        <f t="shared" si="137"/>
        <v>0</v>
      </c>
      <c r="CX202">
        <f t="shared" si="138"/>
        <v>0</v>
      </c>
      <c r="CY202">
        <f t="shared" si="139"/>
        <v>32801.468000000001</v>
      </c>
      <c r="CZ202">
        <f t="shared" si="140"/>
        <v>4685.924</v>
      </c>
      <c r="DC202" t="s">
        <v>3</v>
      </c>
      <c r="DD202" t="s">
        <v>3</v>
      </c>
      <c r="DE202" t="s">
        <v>3</v>
      </c>
      <c r="DF202" t="s">
        <v>3</v>
      </c>
      <c r="DG202" t="s">
        <v>3</v>
      </c>
      <c r="DH202" t="s">
        <v>3</v>
      </c>
      <c r="DI202" t="s">
        <v>3</v>
      </c>
      <c r="DJ202" t="s">
        <v>3</v>
      </c>
      <c r="DK202" t="s">
        <v>3</v>
      </c>
      <c r="DL202" t="s">
        <v>3</v>
      </c>
      <c r="DM202" t="s">
        <v>3</v>
      </c>
      <c r="DN202">
        <v>0</v>
      </c>
      <c r="DO202">
        <v>0</v>
      </c>
      <c r="DP202">
        <v>1</v>
      </c>
      <c r="DQ202">
        <v>1</v>
      </c>
      <c r="DU202">
        <v>1003</v>
      </c>
      <c r="DV202" t="s">
        <v>121</v>
      </c>
      <c r="DW202" t="s">
        <v>121</v>
      </c>
      <c r="DX202">
        <v>1</v>
      </c>
      <c r="EE202">
        <v>38447819</v>
      </c>
      <c r="EF202">
        <v>1</v>
      </c>
      <c r="EG202" t="s">
        <v>23</v>
      </c>
      <c r="EH202">
        <v>0</v>
      </c>
      <c r="EI202" t="s">
        <v>3</v>
      </c>
      <c r="EJ202">
        <v>4</v>
      </c>
      <c r="EK202">
        <v>0</v>
      </c>
      <c r="EL202" t="s">
        <v>24</v>
      </c>
      <c r="EM202" t="s">
        <v>25</v>
      </c>
      <c r="EO202" t="s">
        <v>3</v>
      </c>
      <c r="EQ202">
        <v>0</v>
      </c>
      <c r="ER202">
        <v>588.30999999999995</v>
      </c>
      <c r="ES202">
        <v>300.83</v>
      </c>
      <c r="ET202">
        <v>0</v>
      </c>
      <c r="EU202">
        <v>0</v>
      </c>
      <c r="EV202">
        <v>287.48</v>
      </c>
      <c r="EW202">
        <v>1.1499999999999999</v>
      </c>
      <c r="EX202">
        <v>0</v>
      </c>
      <c r="EY202">
        <v>0</v>
      </c>
      <c r="FQ202">
        <v>0</v>
      </c>
      <c r="FR202">
        <f t="shared" si="141"/>
        <v>0</v>
      </c>
      <c r="FS202">
        <v>0</v>
      </c>
      <c r="FX202">
        <v>70</v>
      </c>
      <c r="FY202">
        <v>10</v>
      </c>
      <c r="GA202" t="s">
        <v>3</v>
      </c>
      <c r="GD202">
        <v>0</v>
      </c>
      <c r="GF202">
        <v>667873665</v>
      </c>
      <c r="GG202">
        <v>2</v>
      </c>
      <c r="GH202">
        <v>1</v>
      </c>
      <c r="GI202">
        <v>-2</v>
      </c>
      <c r="GJ202">
        <v>0</v>
      </c>
      <c r="GK202">
        <f>ROUND(R202*(R12)/100,2)</f>
        <v>0</v>
      </c>
      <c r="GL202">
        <f t="shared" si="142"/>
        <v>0</v>
      </c>
      <c r="GM202">
        <f t="shared" si="143"/>
        <v>133381.92000000001</v>
      </c>
      <c r="GN202">
        <f t="shared" si="144"/>
        <v>0</v>
      </c>
      <c r="GO202">
        <f t="shared" si="145"/>
        <v>0</v>
      </c>
      <c r="GP202">
        <f t="shared" si="146"/>
        <v>133381.92000000001</v>
      </c>
      <c r="GR202">
        <v>0</v>
      </c>
      <c r="GS202">
        <v>3</v>
      </c>
      <c r="GT202">
        <v>0</v>
      </c>
      <c r="GU202" t="s">
        <v>3</v>
      </c>
      <c r="GV202">
        <f t="shared" si="147"/>
        <v>0</v>
      </c>
      <c r="GW202">
        <v>1</v>
      </c>
      <c r="GX202">
        <f t="shared" si="148"/>
        <v>0</v>
      </c>
      <c r="HA202">
        <v>0</v>
      </c>
      <c r="HB202">
        <v>0</v>
      </c>
      <c r="HC202">
        <f t="shared" si="149"/>
        <v>0</v>
      </c>
      <c r="HE202" t="s">
        <v>3</v>
      </c>
      <c r="HF202" t="s">
        <v>3</v>
      </c>
      <c r="IK202">
        <v>0</v>
      </c>
    </row>
    <row r="203" spans="1:245" x14ac:dyDescent="0.2">
      <c r="A203">
        <v>18</v>
      </c>
      <c r="B203">
        <v>1</v>
      </c>
      <c r="C203">
        <v>128</v>
      </c>
      <c r="E203" t="s">
        <v>189</v>
      </c>
      <c r="F203" t="s">
        <v>124</v>
      </c>
      <c r="G203" t="s">
        <v>125</v>
      </c>
      <c r="H203" t="s">
        <v>35</v>
      </c>
      <c r="I203">
        <f>I202*J203</f>
        <v>1.6300000000000001</v>
      </c>
      <c r="J203">
        <v>0.01</v>
      </c>
      <c r="O203">
        <f t="shared" si="110"/>
        <v>14694.29</v>
      </c>
      <c r="P203">
        <f t="shared" si="111"/>
        <v>14694.29</v>
      </c>
      <c r="Q203">
        <f t="shared" si="112"/>
        <v>0</v>
      </c>
      <c r="R203">
        <f t="shared" si="113"/>
        <v>0</v>
      </c>
      <c r="S203">
        <f t="shared" si="114"/>
        <v>0</v>
      </c>
      <c r="T203">
        <f t="shared" si="115"/>
        <v>0</v>
      </c>
      <c r="U203">
        <f t="shared" si="116"/>
        <v>0</v>
      </c>
      <c r="V203">
        <f t="shared" si="117"/>
        <v>0</v>
      </c>
      <c r="W203">
        <f t="shared" si="118"/>
        <v>0</v>
      </c>
      <c r="X203">
        <f t="shared" si="119"/>
        <v>0</v>
      </c>
      <c r="Y203">
        <f t="shared" si="120"/>
        <v>0</v>
      </c>
      <c r="AA203">
        <v>38799519</v>
      </c>
      <c r="AB203">
        <f t="shared" si="121"/>
        <v>9014.9</v>
      </c>
      <c r="AC203">
        <f t="shared" si="122"/>
        <v>9014.9</v>
      </c>
      <c r="AD203">
        <f t="shared" si="123"/>
        <v>0</v>
      </c>
      <c r="AE203">
        <f t="shared" si="124"/>
        <v>0</v>
      </c>
      <c r="AF203">
        <f t="shared" si="125"/>
        <v>0</v>
      </c>
      <c r="AG203">
        <f t="shared" si="126"/>
        <v>0</v>
      </c>
      <c r="AH203">
        <f t="shared" si="127"/>
        <v>0</v>
      </c>
      <c r="AI203">
        <f t="shared" si="128"/>
        <v>0</v>
      </c>
      <c r="AJ203">
        <f t="shared" si="129"/>
        <v>0</v>
      </c>
      <c r="AK203">
        <v>9014.9</v>
      </c>
      <c r="AL203">
        <v>9014.9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70</v>
      </c>
      <c r="AU203">
        <v>10</v>
      </c>
      <c r="AV203">
        <v>1</v>
      </c>
      <c r="AW203">
        <v>1</v>
      </c>
      <c r="AZ203">
        <v>1</v>
      </c>
      <c r="BA203">
        <v>1</v>
      </c>
      <c r="BB203">
        <v>1</v>
      </c>
      <c r="BC203">
        <v>1</v>
      </c>
      <c r="BD203" t="s">
        <v>3</v>
      </c>
      <c r="BE203" t="s">
        <v>3</v>
      </c>
      <c r="BF203" t="s">
        <v>3</v>
      </c>
      <c r="BG203" t="s">
        <v>3</v>
      </c>
      <c r="BH203">
        <v>3</v>
      </c>
      <c r="BI203">
        <v>4</v>
      </c>
      <c r="BJ203" t="s">
        <v>126</v>
      </c>
      <c r="BM203">
        <v>0</v>
      </c>
      <c r="BN203">
        <v>0</v>
      </c>
      <c r="BO203" t="s">
        <v>3</v>
      </c>
      <c r="BP203">
        <v>0</v>
      </c>
      <c r="BQ203">
        <v>1</v>
      </c>
      <c r="BR203">
        <v>0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 t="s">
        <v>3</v>
      </c>
      <c r="BZ203">
        <v>70</v>
      </c>
      <c r="CA203">
        <v>10</v>
      </c>
      <c r="CE203">
        <v>0</v>
      </c>
      <c r="CF203">
        <v>0</v>
      </c>
      <c r="CG203">
        <v>0</v>
      </c>
      <c r="CM203">
        <v>0</v>
      </c>
      <c r="CN203" t="s">
        <v>3</v>
      </c>
      <c r="CO203">
        <v>0</v>
      </c>
      <c r="CP203">
        <f t="shared" si="130"/>
        <v>14694.29</v>
      </c>
      <c r="CQ203">
        <f t="shared" si="131"/>
        <v>9014.9</v>
      </c>
      <c r="CR203">
        <f t="shared" si="132"/>
        <v>0</v>
      </c>
      <c r="CS203">
        <f t="shared" si="133"/>
        <v>0</v>
      </c>
      <c r="CT203">
        <f t="shared" si="134"/>
        <v>0</v>
      </c>
      <c r="CU203">
        <f t="shared" si="135"/>
        <v>0</v>
      </c>
      <c r="CV203">
        <f t="shared" si="136"/>
        <v>0</v>
      </c>
      <c r="CW203">
        <f t="shared" si="137"/>
        <v>0</v>
      </c>
      <c r="CX203">
        <f t="shared" si="138"/>
        <v>0</v>
      </c>
      <c r="CY203">
        <f t="shared" si="139"/>
        <v>0</v>
      </c>
      <c r="CZ203">
        <f t="shared" si="140"/>
        <v>0</v>
      </c>
      <c r="DC203" t="s">
        <v>3</v>
      </c>
      <c r="DD203" t="s">
        <v>3</v>
      </c>
      <c r="DE203" t="s">
        <v>3</v>
      </c>
      <c r="DF203" t="s">
        <v>3</v>
      </c>
      <c r="DG203" t="s">
        <v>3</v>
      </c>
      <c r="DH203" t="s">
        <v>3</v>
      </c>
      <c r="DI203" t="s">
        <v>3</v>
      </c>
      <c r="DJ203" t="s">
        <v>3</v>
      </c>
      <c r="DK203" t="s">
        <v>3</v>
      </c>
      <c r="DL203" t="s">
        <v>3</v>
      </c>
      <c r="DM203" t="s">
        <v>3</v>
      </c>
      <c r="DN203">
        <v>0</v>
      </c>
      <c r="DO203">
        <v>0</v>
      </c>
      <c r="DP203">
        <v>1</v>
      </c>
      <c r="DQ203">
        <v>1</v>
      </c>
      <c r="DU203">
        <v>1007</v>
      </c>
      <c r="DV203" t="s">
        <v>35</v>
      </c>
      <c r="DW203" t="s">
        <v>35</v>
      </c>
      <c r="DX203">
        <v>1</v>
      </c>
      <c r="EE203">
        <v>38447819</v>
      </c>
      <c r="EF203">
        <v>1</v>
      </c>
      <c r="EG203" t="s">
        <v>23</v>
      </c>
      <c r="EH203">
        <v>0</v>
      </c>
      <c r="EI203" t="s">
        <v>3</v>
      </c>
      <c r="EJ203">
        <v>4</v>
      </c>
      <c r="EK203">
        <v>0</v>
      </c>
      <c r="EL203" t="s">
        <v>24</v>
      </c>
      <c r="EM203" t="s">
        <v>25</v>
      </c>
      <c r="EO203" t="s">
        <v>3</v>
      </c>
      <c r="EQ203">
        <v>0</v>
      </c>
      <c r="ER203">
        <v>9014.9</v>
      </c>
      <c r="ES203">
        <v>9014.9</v>
      </c>
      <c r="ET203">
        <v>0</v>
      </c>
      <c r="EU203">
        <v>0</v>
      </c>
      <c r="EV203">
        <v>0</v>
      </c>
      <c r="EW203">
        <v>0</v>
      </c>
      <c r="EX203">
        <v>0</v>
      </c>
      <c r="FQ203">
        <v>0</v>
      </c>
      <c r="FR203">
        <f t="shared" si="141"/>
        <v>0</v>
      </c>
      <c r="FS203">
        <v>0</v>
      </c>
      <c r="FX203">
        <v>70</v>
      </c>
      <c r="FY203">
        <v>10</v>
      </c>
      <c r="GA203" t="s">
        <v>3</v>
      </c>
      <c r="GD203">
        <v>0</v>
      </c>
      <c r="GF203">
        <v>858864401</v>
      </c>
      <c r="GG203">
        <v>2</v>
      </c>
      <c r="GH203">
        <v>1</v>
      </c>
      <c r="GI203">
        <v>-2</v>
      </c>
      <c r="GJ203">
        <v>0</v>
      </c>
      <c r="GK203">
        <f>ROUND(R203*(R12)/100,2)</f>
        <v>0</v>
      </c>
      <c r="GL203">
        <f t="shared" si="142"/>
        <v>0</v>
      </c>
      <c r="GM203">
        <f t="shared" si="143"/>
        <v>14694.29</v>
      </c>
      <c r="GN203">
        <f t="shared" si="144"/>
        <v>0</v>
      </c>
      <c r="GO203">
        <f t="shared" si="145"/>
        <v>0</v>
      </c>
      <c r="GP203">
        <f t="shared" si="146"/>
        <v>14694.29</v>
      </c>
      <c r="GR203">
        <v>0</v>
      </c>
      <c r="GS203">
        <v>3</v>
      </c>
      <c r="GT203">
        <v>0</v>
      </c>
      <c r="GU203" t="s">
        <v>3</v>
      </c>
      <c r="GV203">
        <f t="shared" si="147"/>
        <v>0</v>
      </c>
      <c r="GW203">
        <v>1</v>
      </c>
      <c r="GX203">
        <f t="shared" si="148"/>
        <v>0</v>
      </c>
      <c r="HA203">
        <v>0</v>
      </c>
      <c r="HB203">
        <v>0</v>
      </c>
      <c r="HC203">
        <f t="shared" si="149"/>
        <v>0</v>
      </c>
      <c r="HE203" t="s">
        <v>3</v>
      </c>
      <c r="HF203" t="s">
        <v>3</v>
      </c>
      <c r="IK203">
        <v>0</v>
      </c>
    </row>
    <row r="204" spans="1:245" x14ac:dyDescent="0.2">
      <c r="A204">
        <v>17</v>
      </c>
      <c r="B204">
        <v>1</v>
      </c>
      <c r="C204">
        <f>ROW(SmtRes!A134)</f>
        <v>134</v>
      </c>
      <c r="D204">
        <f>ROW(EtalonRes!A130)</f>
        <v>130</v>
      </c>
      <c r="E204" t="s">
        <v>190</v>
      </c>
      <c r="F204" t="s">
        <v>128</v>
      </c>
      <c r="G204" t="s">
        <v>129</v>
      </c>
      <c r="H204" t="s">
        <v>35</v>
      </c>
      <c r="I204">
        <v>45.45</v>
      </c>
      <c r="J204">
        <v>0</v>
      </c>
      <c r="O204">
        <f t="shared" si="110"/>
        <v>161199.79</v>
      </c>
      <c r="P204">
        <f t="shared" si="111"/>
        <v>74031.69</v>
      </c>
      <c r="Q204">
        <f t="shared" si="112"/>
        <v>50651.75</v>
      </c>
      <c r="R204">
        <f t="shared" si="113"/>
        <v>28830.75</v>
      </c>
      <c r="S204">
        <f t="shared" si="114"/>
        <v>36516.35</v>
      </c>
      <c r="T204">
        <f t="shared" si="115"/>
        <v>0</v>
      </c>
      <c r="U204">
        <f t="shared" si="116"/>
        <v>169.52850000000001</v>
      </c>
      <c r="V204">
        <f t="shared" si="117"/>
        <v>0</v>
      </c>
      <c r="W204">
        <f t="shared" si="118"/>
        <v>0</v>
      </c>
      <c r="X204">
        <f t="shared" si="119"/>
        <v>25561.45</v>
      </c>
      <c r="Y204">
        <f t="shared" si="120"/>
        <v>3651.64</v>
      </c>
      <c r="AA204">
        <v>38799519</v>
      </c>
      <c r="AB204">
        <f t="shared" si="121"/>
        <v>3546.75</v>
      </c>
      <c r="AC204">
        <f t="shared" si="122"/>
        <v>1628.86</v>
      </c>
      <c r="AD204">
        <f t="shared" si="123"/>
        <v>1114.45</v>
      </c>
      <c r="AE204">
        <f t="shared" si="124"/>
        <v>634.34</v>
      </c>
      <c r="AF204">
        <f t="shared" si="125"/>
        <v>803.44</v>
      </c>
      <c r="AG204">
        <f t="shared" si="126"/>
        <v>0</v>
      </c>
      <c r="AH204">
        <f t="shared" si="127"/>
        <v>3.73</v>
      </c>
      <c r="AI204">
        <f t="shared" si="128"/>
        <v>0</v>
      </c>
      <c r="AJ204">
        <f t="shared" si="129"/>
        <v>0</v>
      </c>
      <c r="AK204">
        <v>3546.75</v>
      </c>
      <c r="AL204">
        <v>1628.86</v>
      </c>
      <c r="AM204">
        <v>1114.45</v>
      </c>
      <c r="AN204">
        <v>634.34</v>
      </c>
      <c r="AO204">
        <v>803.44</v>
      </c>
      <c r="AP204">
        <v>0</v>
      </c>
      <c r="AQ204">
        <v>3.73</v>
      </c>
      <c r="AR204">
        <v>0</v>
      </c>
      <c r="AS204">
        <v>0</v>
      </c>
      <c r="AT204">
        <v>70</v>
      </c>
      <c r="AU204">
        <v>10</v>
      </c>
      <c r="AV204">
        <v>1</v>
      </c>
      <c r="AW204">
        <v>1</v>
      </c>
      <c r="AZ204">
        <v>1</v>
      </c>
      <c r="BA204">
        <v>1</v>
      </c>
      <c r="BB204">
        <v>1</v>
      </c>
      <c r="BC204">
        <v>1</v>
      </c>
      <c r="BD204" t="s">
        <v>3</v>
      </c>
      <c r="BE204" t="s">
        <v>3</v>
      </c>
      <c r="BF204" t="s">
        <v>3</v>
      </c>
      <c r="BG204" t="s">
        <v>3</v>
      </c>
      <c r="BH204">
        <v>0</v>
      </c>
      <c r="BI204">
        <v>4</v>
      </c>
      <c r="BJ204" t="s">
        <v>130</v>
      </c>
      <c r="BM204">
        <v>0</v>
      </c>
      <c r="BN204">
        <v>0</v>
      </c>
      <c r="BO204" t="s">
        <v>3</v>
      </c>
      <c r="BP204">
        <v>0</v>
      </c>
      <c r="BQ204">
        <v>1</v>
      </c>
      <c r="BR204">
        <v>0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 t="s">
        <v>3</v>
      </c>
      <c r="BZ204">
        <v>70</v>
      </c>
      <c r="CA204">
        <v>10</v>
      </c>
      <c r="CE204">
        <v>0</v>
      </c>
      <c r="CF204">
        <v>0</v>
      </c>
      <c r="CG204">
        <v>0</v>
      </c>
      <c r="CM204">
        <v>0</v>
      </c>
      <c r="CN204" t="s">
        <v>3</v>
      </c>
      <c r="CO204">
        <v>0</v>
      </c>
      <c r="CP204">
        <f t="shared" si="130"/>
        <v>161199.79</v>
      </c>
      <c r="CQ204">
        <f t="shared" si="131"/>
        <v>1628.86</v>
      </c>
      <c r="CR204">
        <f t="shared" si="132"/>
        <v>1114.45</v>
      </c>
      <c r="CS204">
        <f t="shared" si="133"/>
        <v>634.34</v>
      </c>
      <c r="CT204">
        <f t="shared" si="134"/>
        <v>803.44</v>
      </c>
      <c r="CU204">
        <f t="shared" si="135"/>
        <v>0</v>
      </c>
      <c r="CV204">
        <f t="shared" si="136"/>
        <v>3.73</v>
      </c>
      <c r="CW204">
        <f t="shared" si="137"/>
        <v>0</v>
      </c>
      <c r="CX204">
        <f t="shared" si="138"/>
        <v>0</v>
      </c>
      <c r="CY204">
        <f t="shared" si="139"/>
        <v>25561.445</v>
      </c>
      <c r="CZ204">
        <f t="shared" si="140"/>
        <v>3651.6350000000002</v>
      </c>
      <c r="DC204" t="s">
        <v>3</v>
      </c>
      <c r="DD204" t="s">
        <v>3</v>
      </c>
      <c r="DE204" t="s">
        <v>3</v>
      </c>
      <c r="DF204" t="s">
        <v>3</v>
      </c>
      <c r="DG204" t="s">
        <v>3</v>
      </c>
      <c r="DH204" t="s">
        <v>3</v>
      </c>
      <c r="DI204" t="s">
        <v>3</v>
      </c>
      <c r="DJ204" t="s">
        <v>3</v>
      </c>
      <c r="DK204" t="s">
        <v>3</v>
      </c>
      <c r="DL204" t="s">
        <v>3</v>
      </c>
      <c r="DM204" t="s">
        <v>3</v>
      </c>
      <c r="DN204">
        <v>0</v>
      </c>
      <c r="DO204">
        <v>0</v>
      </c>
      <c r="DP204">
        <v>1</v>
      </c>
      <c r="DQ204">
        <v>1</v>
      </c>
      <c r="DU204">
        <v>1007</v>
      </c>
      <c r="DV204" t="s">
        <v>35</v>
      </c>
      <c r="DW204" t="s">
        <v>35</v>
      </c>
      <c r="DX204">
        <v>1</v>
      </c>
      <c r="EE204">
        <v>38447819</v>
      </c>
      <c r="EF204">
        <v>1</v>
      </c>
      <c r="EG204" t="s">
        <v>23</v>
      </c>
      <c r="EH204">
        <v>0</v>
      </c>
      <c r="EI204" t="s">
        <v>3</v>
      </c>
      <c r="EJ204">
        <v>4</v>
      </c>
      <c r="EK204">
        <v>0</v>
      </c>
      <c r="EL204" t="s">
        <v>24</v>
      </c>
      <c r="EM204" t="s">
        <v>25</v>
      </c>
      <c r="EO204" t="s">
        <v>3</v>
      </c>
      <c r="EQ204">
        <v>0</v>
      </c>
      <c r="ER204">
        <v>3546.75</v>
      </c>
      <c r="ES204">
        <v>1628.86</v>
      </c>
      <c r="ET204">
        <v>1114.45</v>
      </c>
      <c r="EU204">
        <v>634.34</v>
      </c>
      <c r="EV204">
        <v>803.44</v>
      </c>
      <c r="EW204">
        <v>3.73</v>
      </c>
      <c r="EX204">
        <v>0</v>
      </c>
      <c r="EY204">
        <v>0</v>
      </c>
      <c r="FQ204">
        <v>0</v>
      </c>
      <c r="FR204">
        <f t="shared" si="141"/>
        <v>0</v>
      </c>
      <c r="FS204">
        <v>0</v>
      </c>
      <c r="FX204">
        <v>70</v>
      </c>
      <c r="FY204">
        <v>10</v>
      </c>
      <c r="GA204" t="s">
        <v>3</v>
      </c>
      <c r="GD204">
        <v>0</v>
      </c>
      <c r="GF204">
        <v>-1126095436</v>
      </c>
      <c r="GG204">
        <v>2</v>
      </c>
      <c r="GH204">
        <v>1</v>
      </c>
      <c r="GI204">
        <v>-2</v>
      </c>
      <c r="GJ204">
        <v>0</v>
      </c>
      <c r="GK204">
        <f>ROUND(R204*(R12)/100,2)</f>
        <v>31137.21</v>
      </c>
      <c r="GL204">
        <f t="shared" si="142"/>
        <v>0</v>
      </c>
      <c r="GM204">
        <f t="shared" si="143"/>
        <v>221550.09</v>
      </c>
      <c r="GN204">
        <f t="shared" si="144"/>
        <v>0</v>
      </c>
      <c r="GO204">
        <f t="shared" si="145"/>
        <v>0</v>
      </c>
      <c r="GP204">
        <f t="shared" si="146"/>
        <v>221550.09</v>
      </c>
      <c r="GR204">
        <v>0</v>
      </c>
      <c r="GS204">
        <v>3</v>
      </c>
      <c r="GT204">
        <v>0</v>
      </c>
      <c r="GU204" t="s">
        <v>3</v>
      </c>
      <c r="GV204">
        <f t="shared" si="147"/>
        <v>0</v>
      </c>
      <c r="GW204">
        <v>1</v>
      </c>
      <c r="GX204">
        <f t="shared" si="148"/>
        <v>0</v>
      </c>
      <c r="HA204">
        <v>0</v>
      </c>
      <c r="HB204">
        <v>0</v>
      </c>
      <c r="HC204">
        <f t="shared" si="149"/>
        <v>0</v>
      </c>
      <c r="HE204" t="s">
        <v>3</v>
      </c>
      <c r="HF204" t="s">
        <v>3</v>
      </c>
      <c r="IK204">
        <v>0</v>
      </c>
    </row>
    <row r="205" spans="1:245" x14ac:dyDescent="0.2">
      <c r="A205">
        <v>17</v>
      </c>
      <c r="B205">
        <v>1</v>
      </c>
      <c r="C205">
        <f>ROW(SmtRes!A141)</f>
        <v>141</v>
      </c>
      <c r="D205">
        <f>ROW(EtalonRes!A137)</f>
        <v>137</v>
      </c>
      <c r="E205" t="s">
        <v>191</v>
      </c>
      <c r="F205" t="s">
        <v>132</v>
      </c>
      <c r="G205" t="s">
        <v>133</v>
      </c>
      <c r="H205" t="s">
        <v>19</v>
      </c>
      <c r="I205">
        <f>ROUND(303/100,9)</f>
        <v>3.03</v>
      </c>
      <c r="J205">
        <v>0</v>
      </c>
      <c r="O205">
        <f t="shared" si="110"/>
        <v>68717.33</v>
      </c>
      <c r="P205">
        <f t="shared" si="111"/>
        <v>52755.48</v>
      </c>
      <c r="Q205">
        <f t="shared" si="112"/>
        <v>6104.81</v>
      </c>
      <c r="R205">
        <f t="shared" si="113"/>
        <v>3660.33</v>
      </c>
      <c r="S205">
        <f t="shared" si="114"/>
        <v>9857.0400000000009</v>
      </c>
      <c r="T205">
        <f t="shared" si="115"/>
        <v>0</v>
      </c>
      <c r="U205">
        <f t="shared" si="116"/>
        <v>49.813200000000002</v>
      </c>
      <c r="V205">
        <f t="shared" si="117"/>
        <v>0</v>
      </c>
      <c r="W205">
        <f t="shared" si="118"/>
        <v>0</v>
      </c>
      <c r="X205">
        <f t="shared" si="119"/>
        <v>6899.93</v>
      </c>
      <c r="Y205">
        <f t="shared" si="120"/>
        <v>985.7</v>
      </c>
      <c r="AA205">
        <v>38799519</v>
      </c>
      <c r="AB205">
        <f t="shared" si="121"/>
        <v>22678.99</v>
      </c>
      <c r="AC205">
        <f t="shared" si="122"/>
        <v>17411.05</v>
      </c>
      <c r="AD205">
        <f t="shared" si="123"/>
        <v>2014.79</v>
      </c>
      <c r="AE205">
        <f t="shared" si="124"/>
        <v>1208.03</v>
      </c>
      <c r="AF205">
        <f t="shared" si="125"/>
        <v>3253.15</v>
      </c>
      <c r="AG205">
        <f t="shared" si="126"/>
        <v>0</v>
      </c>
      <c r="AH205">
        <f t="shared" si="127"/>
        <v>16.440000000000001</v>
      </c>
      <c r="AI205">
        <f t="shared" si="128"/>
        <v>0</v>
      </c>
      <c r="AJ205">
        <f t="shared" si="129"/>
        <v>0</v>
      </c>
      <c r="AK205">
        <v>22678.99</v>
      </c>
      <c r="AL205">
        <v>17411.05</v>
      </c>
      <c r="AM205">
        <v>2014.79</v>
      </c>
      <c r="AN205">
        <v>1208.03</v>
      </c>
      <c r="AO205">
        <v>3253.15</v>
      </c>
      <c r="AP205">
        <v>0</v>
      </c>
      <c r="AQ205">
        <v>16.440000000000001</v>
      </c>
      <c r="AR205">
        <v>0</v>
      </c>
      <c r="AS205">
        <v>0</v>
      </c>
      <c r="AT205">
        <v>70</v>
      </c>
      <c r="AU205">
        <v>10</v>
      </c>
      <c r="AV205">
        <v>1</v>
      </c>
      <c r="AW205">
        <v>1</v>
      </c>
      <c r="AZ205">
        <v>1</v>
      </c>
      <c r="BA205">
        <v>1</v>
      </c>
      <c r="BB205">
        <v>1</v>
      </c>
      <c r="BC205">
        <v>1</v>
      </c>
      <c r="BD205" t="s">
        <v>3</v>
      </c>
      <c r="BE205" t="s">
        <v>3</v>
      </c>
      <c r="BF205" t="s">
        <v>3</v>
      </c>
      <c r="BG205" t="s">
        <v>3</v>
      </c>
      <c r="BH205">
        <v>0</v>
      </c>
      <c r="BI205">
        <v>4</v>
      </c>
      <c r="BJ205" t="s">
        <v>134</v>
      </c>
      <c r="BM205">
        <v>0</v>
      </c>
      <c r="BN205">
        <v>0</v>
      </c>
      <c r="BO205" t="s">
        <v>3</v>
      </c>
      <c r="BP205">
        <v>0</v>
      </c>
      <c r="BQ205">
        <v>1</v>
      </c>
      <c r="BR205">
        <v>0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 t="s">
        <v>3</v>
      </c>
      <c r="BZ205">
        <v>70</v>
      </c>
      <c r="CA205">
        <v>10</v>
      </c>
      <c r="CE205">
        <v>0</v>
      </c>
      <c r="CF205">
        <v>0</v>
      </c>
      <c r="CG205">
        <v>0</v>
      </c>
      <c r="CM205">
        <v>0</v>
      </c>
      <c r="CN205" t="s">
        <v>3</v>
      </c>
      <c r="CO205">
        <v>0</v>
      </c>
      <c r="CP205">
        <f t="shared" si="130"/>
        <v>68717.33</v>
      </c>
      <c r="CQ205">
        <f t="shared" si="131"/>
        <v>17411.05</v>
      </c>
      <c r="CR205">
        <f t="shared" si="132"/>
        <v>2014.79</v>
      </c>
      <c r="CS205">
        <f t="shared" si="133"/>
        <v>1208.03</v>
      </c>
      <c r="CT205">
        <f t="shared" si="134"/>
        <v>3253.15</v>
      </c>
      <c r="CU205">
        <f t="shared" si="135"/>
        <v>0</v>
      </c>
      <c r="CV205">
        <f t="shared" si="136"/>
        <v>16.440000000000001</v>
      </c>
      <c r="CW205">
        <f t="shared" si="137"/>
        <v>0</v>
      </c>
      <c r="CX205">
        <f t="shared" si="138"/>
        <v>0</v>
      </c>
      <c r="CY205">
        <f t="shared" si="139"/>
        <v>6899.9280000000008</v>
      </c>
      <c r="CZ205">
        <f t="shared" si="140"/>
        <v>985.70400000000006</v>
      </c>
      <c r="DC205" t="s">
        <v>3</v>
      </c>
      <c r="DD205" t="s">
        <v>3</v>
      </c>
      <c r="DE205" t="s">
        <v>3</v>
      </c>
      <c r="DF205" t="s">
        <v>3</v>
      </c>
      <c r="DG205" t="s">
        <v>3</v>
      </c>
      <c r="DH205" t="s">
        <v>3</v>
      </c>
      <c r="DI205" t="s">
        <v>3</v>
      </c>
      <c r="DJ205" t="s">
        <v>3</v>
      </c>
      <c r="DK205" t="s">
        <v>3</v>
      </c>
      <c r="DL205" t="s">
        <v>3</v>
      </c>
      <c r="DM205" t="s">
        <v>3</v>
      </c>
      <c r="DN205">
        <v>0</v>
      </c>
      <c r="DO205">
        <v>0</v>
      </c>
      <c r="DP205">
        <v>1</v>
      </c>
      <c r="DQ205">
        <v>1</v>
      </c>
      <c r="DU205">
        <v>1005</v>
      </c>
      <c r="DV205" t="s">
        <v>19</v>
      </c>
      <c r="DW205" t="s">
        <v>19</v>
      </c>
      <c r="DX205">
        <v>100</v>
      </c>
      <c r="EE205">
        <v>38447819</v>
      </c>
      <c r="EF205">
        <v>1</v>
      </c>
      <c r="EG205" t="s">
        <v>23</v>
      </c>
      <c r="EH205">
        <v>0</v>
      </c>
      <c r="EI205" t="s">
        <v>3</v>
      </c>
      <c r="EJ205">
        <v>4</v>
      </c>
      <c r="EK205">
        <v>0</v>
      </c>
      <c r="EL205" t="s">
        <v>24</v>
      </c>
      <c r="EM205" t="s">
        <v>25</v>
      </c>
      <c r="EO205" t="s">
        <v>3</v>
      </c>
      <c r="EQ205">
        <v>0</v>
      </c>
      <c r="ER205">
        <v>22678.99</v>
      </c>
      <c r="ES205">
        <v>17411.05</v>
      </c>
      <c r="ET205">
        <v>2014.79</v>
      </c>
      <c r="EU205">
        <v>1208.03</v>
      </c>
      <c r="EV205">
        <v>3253.15</v>
      </c>
      <c r="EW205">
        <v>16.440000000000001</v>
      </c>
      <c r="EX205">
        <v>0</v>
      </c>
      <c r="EY205">
        <v>0</v>
      </c>
      <c r="FQ205">
        <v>0</v>
      </c>
      <c r="FR205">
        <f t="shared" si="141"/>
        <v>0</v>
      </c>
      <c r="FS205">
        <v>0</v>
      </c>
      <c r="FX205">
        <v>70</v>
      </c>
      <c r="FY205">
        <v>10</v>
      </c>
      <c r="GA205" t="s">
        <v>3</v>
      </c>
      <c r="GD205">
        <v>0</v>
      </c>
      <c r="GF205">
        <v>-820978144</v>
      </c>
      <c r="GG205">
        <v>2</v>
      </c>
      <c r="GH205">
        <v>1</v>
      </c>
      <c r="GI205">
        <v>-2</v>
      </c>
      <c r="GJ205">
        <v>0</v>
      </c>
      <c r="GK205">
        <f>ROUND(R205*(R12)/100,2)</f>
        <v>3953.16</v>
      </c>
      <c r="GL205">
        <f t="shared" si="142"/>
        <v>0</v>
      </c>
      <c r="GM205">
        <f t="shared" si="143"/>
        <v>80556.12</v>
      </c>
      <c r="GN205">
        <f t="shared" si="144"/>
        <v>0</v>
      </c>
      <c r="GO205">
        <f t="shared" si="145"/>
        <v>0</v>
      </c>
      <c r="GP205">
        <f t="shared" si="146"/>
        <v>80556.12</v>
      </c>
      <c r="GR205">
        <v>0</v>
      </c>
      <c r="GS205">
        <v>3</v>
      </c>
      <c r="GT205">
        <v>0</v>
      </c>
      <c r="GU205" t="s">
        <v>3</v>
      </c>
      <c r="GV205">
        <f t="shared" si="147"/>
        <v>0</v>
      </c>
      <c r="GW205">
        <v>1</v>
      </c>
      <c r="GX205">
        <f t="shared" si="148"/>
        <v>0</v>
      </c>
      <c r="HA205">
        <v>0</v>
      </c>
      <c r="HB205">
        <v>0</v>
      </c>
      <c r="HC205">
        <f t="shared" si="149"/>
        <v>0</v>
      </c>
      <c r="HE205" t="s">
        <v>3</v>
      </c>
      <c r="HF205" t="s">
        <v>3</v>
      </c>
      <c r="IK205">
        <v>0</v>
      </c>
    </row>
    <row r="206" spans="1:245" x14ac:dyDescent="0.2">
      <c r="A206">
        <v>17</v>
      </c>
      <c r="B206">
        <v>1</v>
      </c>
      <c r="C206">
        <f>ROW(SmtRes!A145)</f>
        <v>145</v>
      </c>
      <c r="D206">
        <f>ROW(EtalonRes!A141)</f>
        <v>141</v>
      </c>
      <c r="E206" t="s">
        <v>192</v>
      </c>
      <c r="F206" t="s">
        <v>136</v>
      </c>
      <c r="G206" t="s">
        <v>137</v>
      </c>
      <c r="H206" t="s">
        <v>19</v>
      </c>
      <c r="I206">
        <f>ROUND(303/100,9)</f>
        <v>3.03</v>
      </c>
      <c r="J206">
        <v>0</v>
      </c>
      <c r="O206">
        <f t="shared" si="110"/>
        <v>10636.64</v>
      </c>
      <c r="P206">
        <f t="shared" si="111"/>
        <v>9007.7099999999991</v>
      </c>
      <c r="Q206">
        <f t="shared" si="112"/>
        <v>318.88</v>
      </c>
      <c r="R206">
        <f t="shared" si="113"/>
        <v>181.68</v>
      </c>
      <c r="S206">
        <f t="shared" si="114"/>
        <v>1310.05</v>
      </c>
      <c r="T206">
        <f t="shared" si="115"/>
        <v>0</v>
      </c>
      <c r="U206">
        <f t="shared" si="116"/>
        <v>6.9992999999999999</v>
      </c>
      <c r="V206">
        <f t="shared" si="117"/>
        <v>0</v>
      </c>
      <c r="W206">
        <f t="shared" si="118"/>
        <v>0</v>
      </c>
      <c r="X206">
        <f t="shared" si="119"/>
        <v>917.04</v>
      </c>
      <c r="Y206">
        <f t="shared" si="120"/>
        <v>131.01</v>
      </c>
      <c r="AA206">
        <v>38799519</v>
      </c>
      <c r="AB206">
        <f t="shared" si="121"/>
        <v>3510.44</v>
      </c>
      <c r="AC206">
        <f t="shared" si="122"/>
        <v>2972.84</v>
      </c>
      <c r="AD206">
        <f t="shared" si="123"/>
        <v>105.24</v>
      </c>
      <c r="AE206">
        <f t="shared" si="124"/>
        <v>59.96</v>
      </c>
      <c r="AF206">
        <f t="shared" si="125"/>
        <v>432.36</v>
      </c>
      <c r="AG206">
        <f t="shared" si="126"/>
        <v>0</v>
      </c>
      <c r="AH206">
        <f t="shared" si="127"/>
        <v>2.31</v>
      </c>
      <c r="AI206">
        <f t="shared" si="128"/>
        <v>0</v>
      </c>
      <c r="AJ206">
        <f t="shared" si="129"/>
        <v>0</v>
      </c>
      <c r="AK206">
        <v>3510.44</v>
      </c>
      <c r="AL206">
        <v>2972.84</v>
      </c>
      <c r="AM206">
        <v>105.24</v>
      </c>
      <c r="AN206">
        <v>59.96</v>
      </c>
      <c r="AO206">
        <v>432.36</v>
      </c>
      <c r="AP206">
        <v>0</v>
      </c>
      <c r="AQ206">
        <v>2.31</v>
      </c>
      <c r="AR206">
        <v>0</v>
      </c>
      <c r="AS206">
        <v>0</v>
      </c>
      <c r="AT206">
        <v>70</v>
      </c>
      <c r="AU206">
        <v>10</v>
      </c>
      <c r="AV206">
        <v>1</v>
      </c>
      <c r="AW206">
        <v>1</v>
      </c>
      <c r="AZ206">
        <v>1</v>
      </c>
      <c r="BA206">
        <v>1</v>
      </c>
      <c r="BB206">
        <v>1</v>
      </c>
      <c r="BC206">
        <v>1</v>
      </c>
      <c r="BD206" t="s">
        <v>3</v>
      </c>
      <c r="BE206" t="s">
        <v>3</v>
      </c>
      <c r="BF206" t="s">
        <v>3</v>
      </c>
      <c r="BG206" t="s">
        <v>3</v>
      </c>
      <c r="BH206">
        <v>0</v>
      </c>
      <c r="BI206">
        <v>4</v>
      </c>
      <c r="BJ206" t="s">
        <v>138</v>
      </c>
      <c r="BM206">
        <v>0</v>
      </c>
      <c r="BN206">
        <v>0</v>
      </c>
      <c r="BO206" t="s">
        <v>3</v>
      </c>
      <c r="BP206">
        <v>0</v>
      </c>
      <c r="BQ206">
        <v>1</v>
      </c>
      <c r="BR206">
        <v>0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 t="s">
        <v>3</v>
      </c>
      <c r="BZ206">
        <v>70</v>
      </c>
      <c r="CA206">
        <v>10</v>
      </c>
      <c r="CE206">
        <v>0</v>
      </c>
      <c r="CF206">
        <v>0</v>
      </c>
      <c r="CG206">
        <v>0</v>
      </c>
      <c r="CM206">
        <v>0</v>
      </c>
      <c r="CN206" t="s">
        <v>3</v>
      </c>
      <c r="CO206">
        <v>0</v>
      </c>
      <c r="CP206">
        <f t="shared" si="130"/>
        <v>10636.639999999998</v>
      </c>
      <c r="CQ206">
        <f t="shared" si="131"/>
        <v>2972.84</v>
      </c>
      <c r="CR206">
        <f t="shared" si="132"/>
        <v>105.24</v>
      </c>
      <c r="CS206">
        <f t="shared" si="133"/>
        <v>59.96</v>
      </c>
      <c r="CT206">
        <f t="shared" si="134"/>
        <v>432.36</v>
      </c>
      <c r="CU206">
        <f t="shared" si="135"/>
        <v>0</v>
      </c>
      <c r="CV206">
        <f t="shared" si="136"/>
        <v>2.31</v>
      </c>
      <c r="CW206">
        <f t="shared" si="137"/>
        <v>0</v>
      </c>
      <c r="CX206">
        <f t="shared" si="138"/>
        <v>0</v>
      </c>
      <c r="CY206">
        <f t="shared" si="139"/>
        <v>917.03499999999997</v>
      </c>
      <c r="CZ206">
        <f t="shared" si="140"/>
        <v>131.005</v>
      </c>
      <c r="DC206" t="s">
        <v>3</v>
      </c>
      <c r="DD206" t="s">
        <v>3</v>
      </c>
      <c r="DE206" t="s">
        <v>3</v>
      </c>
      <c r="DF206" t="s">
        <v>3</v>
      </c>
      <c r="DG206" t="s">
        <v>3</v>
      </c>
      <c r="DH206" t="s">
        <v>3</v>
      </c>
      <c r="DI206" t="s">
        <v>3</v>
      </c>
      <c r="DJ206" t="s">
        <v>3</v>
      </c>
      <c r="DK206" t="s">
        <v>3</v>
      </c>
      <c r="DL206" t="s">
        <v>3</v>
      </c>
      <c r="DM206" t="s">
        <v>3</v>
      </c>
      <c r="DN206">
        <v>0</v>
      </c>
      <c r="DO206">
        <v>0</v>
      </c>
      <c r="DP206">
        <v>1</v>
      </c>
      <c r="DQ206">
        <v>1</v>
      </c>
      <c r="DU206">
        <v>1005</v>
      </c>
      <c r="DV206" t="s">
        <v>19</v>
      </c>
      <c r="DW206" t="s">
        <v>19</v>
      </c>
      <c r="DX206">
        <v>100</v>
      </c>
      <c r="EE206">
        <v>38447819</v>
      </c>
      <c r="EF206">
        <v>1</v>
      </c>
      <c r="EG206" t="s">
        <v>23</v>
      </c>
      <c r="EH206">
        <v>0</v>
      </c>
      <c r="EI206" t="s">
        <v>3</v>
      </c>
      <c r="EJ206">
        <v>4</v>
      </c>
      <c r="EK206">
        <v>0</v>
      </c>
      <c r="EL206" t="s">
        <v>24</v>
      </c>
      <c r="EM206" t="s">
        <v>25</v>
      </c>
      <c r="EO206" t="s">
        <v>3</v>
      </c>
      <c r="EQ206">
        <v>0</v>
      </c>
      <c r="ER206">
        <v>3510.44</v>
      </c>
      <c r="ES206">
        <v>2972.84</v>
      </c>
      <c r="ET206">
        <v>105.24</v>
      </c>
      <c r="EU206">
        <v>59.96</v>
      </c>
      <c r="EV206">
        <v>432.36</v>
      </c>
      <c r="EW206">
        <v>2.31</v>
      </c>
      <c r="EX206">
        <v>0</v>
      </c>
      <c r="EY206">
        <v>0</v>
      </c>
      <c r="FQ206">
        <v>0</v>
      </c>
      <c r="FR206">
        <f t="shared" si="141"/>
        <v>0</v>
      </c>
      <c r="FS206">
        <v>0</v>
      </c>
      <c r="FX206">
        <v>70</v>
      </c>
      <c r="FY206">
        <v>10</v>
      </c>
      <c r="GA206" t="s">
        <v>3</v>
      </c>
      <c r="GD206">
        <v>0</v>
      </c>
      <c r="GF206">
        <v>-1891653427</v>
      </c>
      <c r="GG206">
        <v>2</v>
      </c>
      <c r="GH206">
        <v>1</v>
      </c>
      <c r="GI206">
        <v>-2</v>
      </c>
      <c r="GJ206">
        <v>0</v>
      </c>
      <c r="GK206">
        <f>ROUND(R206*(R12)/100,2)</f>
        <v>196.21</v>
      </c>
      <c r="GL206">
        <f t="shared" si="142"/>
        <v>0</v>
      </c>
      <c r="GM206">
        <f t="shared" si="143"/>
        <v>11880.9</v>
      </c>
      <c r="GN206">
        <f t="shared" si="144"/>
        <v>0</v>
      </c>
      <c r="GO206">
        <f t="shared" si="145"/>
        <v>0</v>
      </c>
      <c r="GP206">
        <f t="shared" si="146"/>
        <v>11880.9</v>
      </c>
      <c r="GR206">
        <v>0</v>
      </c>
      <c r="GS206">
        <v>3</v>
      </c>
      <c r="GT206">
        <v>0</v>
      </c>
      <c r="GU206" t="s">
        <v>3</v>
      </c>
      <c r="GV206">
        <f t="shared" si="147"/>
        <v>0</v>
      </c>
      <c r="GW206">
        <v>1</v>
      </c>
      <c r="GX206">
        <f t="shared" si="148"/>
        <v>0</v>
      </c>
      <c r="HA206">
        <v>0</v>
      </c>
      <c r="HB206">
        <v>0</v>
      </c>
      <c r="HC206">
        <f t="shared" si="149"/>
        <v>0</v>
      </c>
      <c r="HE206" t="s">
        <v>3</v>
      </c>
      <c r="HF206" t="s">
        <v>3</v>
      </c>
      <c r="IK206">
        <v>0</v>
      </c>
    </row>
    <row r="207" spans="1:245" x14ac:dyDescent="0.2">
      <c r="A207">
        <v>17</v>
      </c>
      <c r="B207">
        <v>1</v>
      </c>
      <c r="C207">
        <f>ROW(SmtRes!A155)</f>
        <v>155</v>
      </c>
      <c r="D207">
        <f>ROW(EtalonRes!A151)</f>
        <v>151</v>
      </c>
      <c r="E207" t="s">
        <v>193</v>
      </c>
      <c r="F207" t="s">
        <v>140</v>
      </c>
      <c r="G207" t="s">
        <v>141</v>
      </c>
      <c r="H207" t="s">
        <v>19</v>
      </c>
      <c r="I207">
        <f>ROUND(303/100,9)</f>
        <v>3.03</v>
      </c>
      <c r="J207">
        <v>0</v>
      </c>
      <c r="O207">
        <f t="shared" si="110"/>
        <v>330432.11</v>
      </c>
      <c r="P207">
        <f t="shared" si="111"/>
        <v>310149.65000000002</v>
      </c>
      <c r="Q207">
        <f t="shared" si="112"/>
        <v>7930.27</v>
      </c>
      <c r="R207">
        <f t="shared" si="113"/>
        <v>6252.28</v>
      </c>
      <c r="S207">
        <f t="shared" si="114"/>
        <v>12352.19</v>
      </c>
      <c r="T207">
        <f t="shared" si="115"/>
        <v>0</v>
      </c>
      <c r="U207">
        <f t="shared" si="116"/>
        <v>55.873199999999997</v>
      </c>
      <c r="V207">
        <f t="shared" si="117"/>
        <v>0</v>
      </c>
      <c r="W207">
        <f t="shared" si="118"/>
        <v>0</v>
      </c>
      <c r="X207">
        <f t="shared" si="119"/>
        <v>8646.5300000000007</v>
      </c>
      <c r="Y207">
        <f t="shared" si="120"/>
        <v>1235.22</v>
      </c>
      <c r="AA207">
        <v>38799519</v>
      </c>
      <c r="AB207">
        <f t="shared" si="121"/>
        <v>109053.5</v>
      </c>
      <c r="AC207">
        <f t="shared" si="122"/>
        <v>102359.62</v>
      </c>
      <c r="AD207">
        <f t="shared" si="123"/>
        <v>2617.25</v>
      </c>
      <c r="AE207">
        <f t="shared" si="124"/>
        <v>2063.46</v>
      </c>
      <c r="AF207">
        <f t="shared" si="125"/>
        <v>4076.63</v>
      </c>
      <c r="AG207">
        <f t="shared" si="126"/>
        <v>0</v>
      </c>
      <c r="AH207">
        <f t="shared" si="127"/>
        <v>18.440000000000001</v>
      </c>
      <c r="AI207">
        <f t="shared" si="128"/>
        <v>0</v>
      </c>
      <c r="AJ207">
        <f t="shared" si="129"/>
        <v>0</v>
      </c>
      <c r="AK207">
        <v>109053.5</v>
      </c>
      <c r="AL207">
        <v>102359.62</v>
      </c>
      <c r="AM207">
        <v>2617.25</v>
      </c>
      <c r="AN207">
        <v>2063.46</v>
      </c>
      <c r="AO207">
        <v>4076.63</v>
      </c>
      <c r="AP207">
        <v>0</v>
      </c>
      <c r="AQ207">
        <v>18.440000000000001</v>
      </c>
      <c r="AR207">
        <v>0</v>
      </c>
      <c r="AS207">
        <v>0</v>
      </c>
      <c r="AT207">
        <v>70</v>
      </c>
      <c r="AU207">
        <v>10</v>
      </c>
      <c r="AV207">
        <v>1</v>
      </c>
      <c r="AW207">
        <v>1</v>
      </c>
      <c r="AZ207">
        <v>1</v>
      </c>
      <c r="BA207">
        <v>1</v>
      </c>
      <c r="BB207">
        <v>1</v>
      </c>
      <c r="BC207">
        <v>1</v>
      </c>
      <c r="BD207" t="s">
        <v>3</v>
      </c>
      <c r="BE207" t="s">
        <v>3</v>
      </c>
      <c r="BF207" t="s">
        <v>3</v>
      </c>
      <c r="BG207" t="s">
        <v>3</v>
      </c>
      <c r="BH207">
        <v>0</v>
      </c>
      <c r="BI207">
        <v>4</v>
      </c>
      <c r="BJ207" t="s">
        <v>142</v>
      </c>
      <c r="BM207">
        <v>0</v>
      </c>
      <c r="BN207">
        <v>0</v>
      </c>
      <c r="BO207" t="s">
        <v>3</v>
      </c>
      <c r="BP207">
        <v>0</v>
      </c>
      <c r="BQ207">
        <v>1</v>
      </c>
      <c r="BR207">
        <v>0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 t="s">
        <v>3</v>
      </c>
      <c r="BZ207">
        <v>70</v>
      </c>
      <c r="CA207">
        <v>10</v>
      </c>
      <c r="CE207">
        <v>0</v>
      </c>
      <c r="CF207">
        <v>0</v>
      </c>
      <c r="CG207">
        <v>0</v>
      </c>
      <c r="CM207">
        <v>0</v>
      </c>
      <c r="CN207" t="s">
        <v>3</v>
      </c>
      <c r="CO207">
        <v>0</v>
      </c>
      <c r="CP207">
        <f t="shared" si="130"/>
        <v>330432.11000000004</v>
      </c>
      <c r="CQ207">
        <f t="shared" si="131"/>
        <v>102359.62</v>
      </c>
      <c r="CR207">
        <f t="shared" si="132"/>
        <v>2617.25</v>
      </c>
      <c r="CS207">
        <f t="shared" si="133"/>
        <v>2063.46</v>
      </c>
      <c r="CT207">
        <f t="shared" si="134"/>
        <v>4076.63</v>
      </c>
      <c r="CU207">
        <f t="shared" si="135"/>
        <v>0</v>
      </c>
      <c r="CV207">
        <f t="shared" si="136"/>
        <v>18.440000000000001</v>
      </c>
      <c r="CW207">
        <f t="shared" si="137"/>
        <v>0</v>
      </c>
      <c r="CX207">
        <f t="shared" si="138"/>
        <v>0</v>
      </c>
      <c r="CY207">
        <f t="shared" si="139"/>
        <v>8646.5330000000013</v>
      </c>
      <c r="CZ207">
        <f t="shared" si="140"/>
        <v>1235.2190000000001</v>
      </c>
      <c r="DC207" t="s">
        <v>3</v>
      </c>
      <c r="DD207" t="s">
        <v>3</v>
      </c>
      <c r="DE207" t="s">
        <v>3</v>
      </c>
      <c r="DF207" t="s">
        <v>3</v>
      </c>
      <c r="DG207" t="s">
        <v>3</v>
      </c>
      <c r="DH207" t="s">
        <v>3</v>
      </c>
      <c r="DI207" t="s">
        <v>3</v>
      </c>
      <c r="DJ207" t="s">
        <v>3</v>
      </c>
      <c r="DK207" t="s">
        <v>3</v>
      </c>
      <c r="DL207" t="s">
        <v>3</v>
      </c>
      <c r="DM207" t="s">
        <v>3</v>
      </c>
      <c r="DN207">
        <v>0</v>
      </c>
      <c r="DO207">
        <v>0</v>
      </c>
      <c r="DP207">
        <v>1</v>
      </c>
      <c r="DQ207">
        <v>1</v>
      </c>
      <c r="DU207">
        <v>1005</v>
      </c>
      <c r="DV207" t="s">
        <v>19</v>
      </c>
      <c r="DW207" t="s">
        <v>19</v>
      </c>
      <c r="DX207">
        <v>100</v>
      </c>
      <c r="EE207">
        <v>38447819</v>
      </c>
      <c r="EF207">
        <v>1</v>
      </c>
      <c r="EG207" t="s">
        <v>23</v>
      </c>
      <c r="EH207">
        <v>0</v>
      </c>
      <c r="EI207" t="s">
        <v>3</v>
      </c>
      <c r="EJ207">
        <v>4</v>
      </c>
      <c r="EK207">
        <v>0</v>
      </c>
      <c r="EL207" t="s">
        <v>24</v>
      </c>
      <c r="EM207" t="s">
        <v>25</v>
      </c>
      <c r="EO207" t="s">
        <v>3</v>
      </c>
      <c r="EQ207">
        <v>0</v>
      </c>
      <c r="ER207">
        <v>109053.5</v>
      </c>
      <c r="ES207">
        <v>102359.62</v>
      </c>
      <c r="ET207">
        <v>2617.25</v>
      </c>
      <c r="EU207">
        <v>2063.46</v>
      </c>
      <c r="EV207">
        <v>4076.63</v>
      </c>
      <c r="EW207">
        <v>18.440000000000001</v>
      </c>
      <c r="EX207">
        <v>0</v>
      </c>
      <c r="EY207">
        <v>0</v>
      </c>
      <c r="FQ207">
        <v>0</v>
      </c>
      <c r="FR207">
        <f t="shared" si="141"/>
        <v>0</v>
      </c>
      <c r="FS207">
        <v>0</v>
      </c>
      <c r="FX207">
        <v>70</v>
      </c>
      <c r="FY207">
        <v>10</v>
      </c>
      <c r="GA207" t="s">
        <v>3</v>
      </c>
      <c r="GD207">
        <v>0</v>
      </c>
      <c r="GF207">
        <v>1018568157</v>
      </c>
      <c r="GG207">
        <v>2</v>
      </c>
      <c r="GH207">
        <v>1</v>
      </c>
      <c r="GI207">
        <v>-2</v>
      </c>
      <c r="GJ207">
        <v>0</v>
      </c>
      <c r="GK207">
        <f>ROUND(R207*(R12)/100,2)</f>
        <v>6752.46</v>
      </c>
      <c r="GL207">
        <f t="shared" si="142"/>
        <v>0</v>
      </c>
      <c r="GM207">
        <f t="shared" si="143"/>
        <v>347066.32</v>
      </c>
      <c r="GN207">
        <f t="shared" si="144"/>
        <v>0</v>
      </c>
      <c r="GO207">
        <f t="shared" si="145"/>
        <v>0</v>
      </c>
      <c r="GP207">
        <f t="shared" si="146"/>
        <v>347066.32</v>
      </c>
      <c r="GR207">
        <v>0</v>
      </c>
      <c r="GS207">
        <v>3</v>
      </c>
      <c r="GT207">
        <v>0</v>
      </c>
      <c r="GU207" t="s">
        <v>3</v>
      </c>
      <c r="GV207">
        <f t="shared" si="147"/>
        <v>0</v>
      </c>
      <c r="GW207">
        <v>1</v>
      </c>
      <c r="GX207">
        <f t="shared" si="148"/>
        <v>0</v>
      </c>
      <c r="HA207">
        <v>0</v>
      </c>
      <c r="HB207">
        <v>0</v>
      </c>
      <c r="HC207">
        <f t="shared" si="149"/>
        <v>0</v>
      </c>
      <c r="HE207" t="s">
        <v>3</v>
      </c>
      <c r="HF207" t="s">
        <v>3</v>
      </c>
      <c r="IK207">
        <v>0</v>
      </c>
    </row>
    <row r="208" spans="1:245" x14ac:dyDescent="0.2">
      <c r="A208">
        <v>17</v>
      </c>
      <c r="B208">
        <v>1</v>
      </c>
      <c r="C208">
        <f>ROW(SmtRes!A180)</f>
        <v>180</v>
      </c>
      <c r="D208">
        <f>ROW(EtalonRes!A156)</f>
        <v>156</v>
      </c>
      <c r="E208" t="s">
        <v>194</v>
      </c>
      <c r="F208" t="s">
        <v>170</v>
      </c>
      <c r="G208" t="s">
        <v>171</v>
      </c>
      <c r="H208" t="s">
        <v>155</v>
      </c>
      <c r="I208">
        <v>2.6</v>
      </c>
      <c r="J208">
        <v>0</v>
      </c>
      <c r="O208">
        <f t="shared" si="110"/>
        <v>256380.98</v>
      </c>
      <c r="P208">
        <f t="shared" si="111"/>
        <v>196373.92</v>
      </c>
      <c r="Q208">
        <f t="shared" si="112"/>
        <v>1531.4</v>
      </c>
      <c r="R208">
        <f t="shared" si="113"/>
        <v>66.69</v>
      </c>
      <c r="S208">
        <f t="shared" si="114"/>
        <v>58475.66</v>
      </c>
      <c r="T208">
        <f t="shared" si="115"/>
        <v>0</v>
      </c>
      <c r="U208">
        <f t="shared" si="116"/>
        <v>227.24</v>
      </c>
      <c r="V208">
        <f t="shared" si="117"/>
        <v>0</v>
      </c>
      <c r="W208">
        <f t="shared" si="118"/>
        <v>0</v>
      </c>
      <c r="X208">
        <f t="shared" si="119"/>
        <v>40932.959999999999</v>
      </c>
      <c r="Y208">
        <f t="shared" si="120"/>
        <v>5847.57</v>
      </c>
      <c r="AA208">
        <v>38799519</v>
      </c>
      <c r="AB208">
        <f t="shared" si="121"/>
        <v>98608.07</v>
      </c>
      <c r="AC208">
        <f t="shared" si="122"/>
        <v>75528.429999999993</v>
      </c>
      <c r="AD208">
        <f t="shared" si="123"/>
        <v>589</v>
      </c>
      <c r="AE208">
        <f t="shared" si="124"/>
        <v>25.65</v>
      </c>
      <c r="AF208">
        <f t="shared" si="125"/>
        <v>22490.639999999999</v>
      </c>
      <c r="AG208">
        <f t="shared" si="126"/>
        <v>0</v>
      </c>
      <c r="AH208">
        <f t="shared" si="127"/>
        <v>87.4</v>
      </c>
      <c r="AI208">
        <f t="shared" si="128"/>
        <v>0</v>
      </c>
      <c r="AJ208">
        <f t="shared" si="129"/>
        <v>0</v>
      </c>
      <c r="AK208">
        <v>98608.07</v>
      </c>
      <c r="AL208">
        <v>75528.429999999993</v>
      </c>
      <c r="AM208">
        <v>589</v>
      </c>
      <c r="AN208">
        <v>25.65</v>
      </c>
      <c r="AO208">
        <v>22490.639999999999</v>
      </c>
      <c r="AP208">
        <v>0</v>
      </c>
      <c r="AQ208">
        <v>87.4</v>
      </c>
      <c r="AR208">
        <v>0</v>
      </c>
      <c r="AS208">
        <v>0</v>
      </c>
      <c r="AT208">
        <v>70</v>
      </c>
      <c r="AU208">
        <v>10</v>
      </c>
      <c r="AV208">
        <v>1</v>
      </c>
      <c r="AW208">
        <v>1</v>
      </c>
      <c r="AZ208">
        <v>1</v>
      </c>
      <c r="BA208">
        <v>1</v>
      </c>
      <c r="BB208">
        <v>1</v>
      </c>
      <c r="BC208">
        <v>1</v>
      </c>
      <c r="BD208" t="s">
        <v>3</v>
      </c>
      <c r="BE208" t="s">
        <v>3</v>
      </c>
      <c r="BF208" t="s">
        <v>3</v>
      </c>
      <c r="BG208" t="s">
        <v>3</v>
      </c>
      <c r="BH208">
        <v>0</v>
      </c>
      <c r="BI208">
        <v>4</v>
      </c>
      <c r="BJ208" t="s">
        <v>172</v>
      </c>
      <c r="BM208">
        <v>0</v>
      </c>
      <c r="BN208">
        <v>0</v>
      </c>
      <c r="BO208" t="s">
        <v>3</v>
      </c>
      <c r="BP208">
        <v>0</v>
      </c>
      <c r="BQ208">
        <v>1</v>
      </c>
      <c r="BR208">
        <v>0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 t="s">
        <v>3</v>
      </c>
      <c r="BZ208">
        <v>70</v>
      </c>
      <c r="CA208">
        <v>10</v>
      </c>
      <c r="CE208">
        <v>0</v>
      </c>
      <c r="CF208">
        <v>0</v>
      </c>
      <c r="CG208">
        <v>0</v>
      </c>
      <c r="CM208">
        <v>0</v>
      </c>
      <c r="CN208" t="s">
        <v>3</v>
      </c>
      <c r="CO208">
        <v>0</v>
      </c>
      <c r="CP208">
        <f t="shared" si="130"/>
        <v>256380.98</v>
      </c>
      <c r="CQ208">
        <f t="shared" si="131"/>
        <v>75528.429999999993</v>
      </c>
      <c r="CR208">
        <f t="shared" si="132"/>
        <v>589</v>
      </c>
      <c r="CS208">
        <f t="shared" si="133"/>
        <v>25.65</v>
      </c>
      <c r="CT208">
        <f t="shared" si="134"/>
        <v>22490.639999999999</v>
      </c>
      <c r="CU208">
        <f t="shared" si="135"/>
        <v>0</v>
      </c>
      <c r="CV208">
        <f t="shared" si="136"/>
        <v>87.4</v>
      </c>
      <c r="CW208">
        <f t="shared" si="137"/>
        <v>0</v>
      </c>
      <c r="CX208">
        <f t="shared" si="138"/>
        <v>0</v>
      </c>
      <c r="CY208">
        <f t="shared" si="139"/>
        <v>40932.962</v>
      </c>
      <c r="CZ208">
        <f t="shared" si="140"/>
        <v>5847.5660000000007</v>
      </c>
      <c r="DC208" t="s">
        <v>3</v>
      </c>
      <c r="DD208" t="s">
        <v>3</v>
      </c>
      <c r="DE208" t="s">
        <v>3</v>
      </c>
      <c r="DF208" t="s">
        <v>3</v>
      </c>
      <c r="DG208" t="s">
        <v>3</v>
      </c>
      <c r="DH208" t="s">
        <v>3</v>
      </c>
      <c r="DI208" t="s">
        <v>3</v>
      </c>
      <c r="DJ208" t="s">
        <v>3</v>
      </c>
      <c r="DK208" t="s">
        <v>3</v>
      </c>
      <c r="DL208" t="s">
        <v>3</v>
      </c>
      <c r="DM208" t="s">
        <v>3</v>
      </c>
      <c r="DN208">
        <v>0</v>
      </c>
      <c r="DO208">
        <v>0</v>
      </c>
      <c r="DP208">
        <v>1</v>
      </c>
      <c r="DQ208">
        <v>1</v>
      </c>
      <c r="DU208">
        <v>1009</v>
      </c>
      <c r="DV208" t="s">
        <v>155</v>
      </c>
      <c r="DW208" t="s">
        <v>155</v>
      </c>
      <c r="DX208">
        <v>1000</v>
      </c>
      <c r="EE208">
        <v>38447819</v>
      </c>
      <c r="EF208">
        <v>1</v>
      </c>
      <c r="EG208" t="s">
        <v>23</v>
      </c>
      <c r="EH208">
        <v>0</v>
      </c>
      <c r="EI208" t="s">
        <v>3</v>
      </c>
      <c r="EJ208">
        <v>4</v>
      </c>
      <c r="EK208">
        <v>0</v>
      </c>
      <c r="EL208" t="s">
        <v>24</v>
      </c>
      <c r="EM208" t="s">
        <v>25</v>
      </c>
      <c r="EO208" t="s">
        <v>3</v>
      </c>
      <c r="EQ208">
        <v>0</v>
      </c>
      <c r="ER208">
        <v>98608.07</v>
      </c>
      <c r="ES208">
        <v>75528.429999999993</v>
      </c>
      <c r="ET208">
        <v>589</v>
      </c>
      <c r="EU208">
        <v>25.65</v>
      </c>
      <c r="EV208">
        <v>22490.639999999999</v>
      </c>
      <c r="EW208">
        <v>87.4</v>
      </c>
      <c r="EX208">
        <v>0</v>
      </c>
      <c r="EY208">
        <v>0</v>
      </c>
      <c r="FQ208">
        <v>0</v>
      </c>
      <c r="FR208">
        <f t="shared" si="141"/>
        <v>0</v>
      </c>
      <c r="FS208">
        <v>0</v>
      </c>
      <c r="FX208">
        <v>70</v>
      </c>
      <c r="FY208">
        <v>10</v>
      </c>
      <c r="GA208" t="s">
        <v>3</v>
      </c>
      <c r="GD208">
        <v>0</v>
      </c>
      <c r="GF208">
        <v>-1542919465</v>
      </c>
      <c r="GG208">
        <v>2</v>
      </c>
      <c r="GH208">
        <v>1</v>
      </c>
      <c r="GI208">
        <v>-2</v>
      </c>
      <c r="GJ208">
        <v>0</v>
      </c>
      <c r="GK208">
        <f>ROUND(R208*(R12)/100,2)</f>
        <v>72.03</v>
      </c>
      <c r="GL208">
        <f t="shared" si="142"/>
        <v>0</v>
      </c>
      <c r="GM208">
        <f t="shared" si="143"/>
        <v>303233.53999999998</v>
      </c>
      <c r="GN208">
        <f t="shared" si="144"/>
        <v>0</v>
      </c>
      <c r="GO208">
        <f t="shared" si="145"/>
        <v>0</v>
      </c>
      <c r="GP208">
        <f t="shared" si="146"/>
        <v>303233.53999999998</v>
      </c>
      <c r="GR208">
        <v>0</v>
      </c>
      <c r="GS208">
        <v>3</v>
      </c>
      <c r="GT208">
        <v>0</v>
      </c>
      <c r="GU208" t="s">
        <v>3</v>
      </c>
      <c r="GV208">
        <f t="shared" si="147"/>
        <v>0</v>
      </c>
      <c r="GW208">
        <v>1</v>
      </c>
      <c r="GX208">
        <f t="shared" si="148"/>
        <v>0</v>
      </c>
      <c r="HA208">
        <v>0</v>
      </c>
      <c r="HB208">
        <v>0</v>
      </c>
      <c r="HC208">
        <f t="shared" si="149"/>
        <v>0</v>
      </c>
      <c r="HE208" t="s">
        <v>3</v>
      </c>
      <c r="HF208" t="s">
        <v>3</v>
      </c>
      <c r="IK208">
        <v>0</v>
      </c>
    </row>
    <row r="209" spans="1:245" x14ac:dyDescent="0.2">
      <c r="A209">
        <v>18</v>
      </c>
      <c r="B209">
        <v>1</v>
      </c>
      <c r="C209">
        <v>161</v>
      </c>
      <c r="E209" t="s">
        <v>195</v>
      </c>
      <c r="F209" t="s">
        <v>196</v>
      </c>
      <c r="G209" t="s">
        <v>197</v>
      </c>
      <c r="H209" t="s">
        <v>198</v>
      </c>
      <c r="I209">
        <f>I208*J209</f>
        <v>4</v>
      </c>
      <c r="J209">
        <v>1.5384615384615383</v>
      </c>
      <c r="O209">
        <f t="shared" si="110"/>
        <v>48333.32</v>
      </c>
      <c r="P209">
        <f t="shared" si="111"/>
        <v>48333.32</v>
      </c>
      <c r="Q209">
        <f t="shared" si="112"/>
        <v>0</v>
      </c>
      <c r="R209">
        <f t="shared" si="113"/>
        <v>0</v>
      </c>
      <c r="S209">
        <f t="shared" si="114"/>
        <v>0</v>
      </c>
      <c r="T209">
        <f t="shared" si="115"/>
        <v>0</v>
      </c>
      <c r="U209">
        <f t="shared" si="116"/>
        <v>0</v>
      </c>
      <c r="V209">
        <f t="shared" si="117"/>
        <v>0</v>
      </c>
      <c r="W209">
        <f t="shared" si="118"/>
        <v>0</v>
      </c>
      <c r="X209">
        <f t="shared" si="119"/>
        <v>0</v>
      </c>
      <c r="Y209">
        <f t="shared" si="120"/>
        <v>0</v>
      </c>
      <c r="AA209">
        <v>38799519</v>
      </c>
      <c r="AB209">
        <f t="shared" si="121"/>
        <v>12083.33</v>
      </c>
      <c r="AC209">
        <f t="shared" si="122"/>
        <v>12083.33</v>
      </c>
      <c r="AD209">
        <f t="shared" si="123"/>
        <v>0</v>
      </c>
      <c r="AE209">
        <f t="shared" si="124"/>
        <v>0</v>
      </c>
      <c r="AF209">
        <f t="shared" si="125"/>
        <v>0</v>
      </c>
      <c r="AG209">
        <f t="shared" si="126"/>
        <v>0</v>
      </c>
      <c r="AH209">
        <f t="shared" si="127"/>
        <v>0</v>
      </c>
      <c r="AI209">
        <f t="shared" si="128"/>
        <v>0</v>
      </c>
      <c r="AJ209">
        <f t="shared" si="129"/>
        <v>0</v>
      </c>
      <c r="AK209">
        <v>12083.33</v>
      </c>
      <c r="AL209">
        <v>12083.33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70</v>
      </c>
      <c r="AU209">
        <v>10</v>
      </c>
      <c r="AV209">
        <v>1</v>
      </c>
      <c r="AW209">
        <v>1</v>
      </c>
      <c r="AZ209">
        <v>1</v>
      </c>
      <c r="BA209">
        <v>1</v>
      </c>
      <c r="BB209">
        <v>1</v>
      </c>
      <c r="BC209">
        <v>1</v>
      </c>
      <c r="BD209" t="s">
        <v>3</v>
      </c>
      <c r="BE209" t="s">
        <v>3</v>
      </c>
      <c r="BF209" t="s">
        <v>3</v>
      </c>
      <c r="BG209" t="s">
        <v>3</v>
      </c>
      <c r="BH209">
        <v>3</v>
      </c>
      <c r="BI209">
        <v>4</v>
      </c>
      <c r="BJ209" t="s">
        <v>3</v>
      </c>
      <c r="BM209">
        <v>0</v>
      </c>
      <c r="BN209">
        <v>0</v>
      </c>
      <c r="BO209" t="s">
        <v>3</v>
      </c>
      <c r="BP209">
        <v>0</v>
      </c>
      <c r="BQ209">
        <v>1</v>
      </c>
      <c r="BR209">
        <v>0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 t="s">
        <v>3</v>
      </c>
      <c r="BZ209">
        <v>70</v>
      </c>
      <c r="CA209">
        <v>10</v>
      </c>
      <c r="CE209">
        <v>0</v>
      </c>
      <c r="CF209">
        <v>0</v>
      </c>
      <c r="CG209">
        <v>0</v>
      </c>
      <c r="CM209">
        <v>0</v>
      </c>
      <c r="CN209" t="s">
        <v>3</v>
      </c>
      <c r="CO209">
        <v>0</v>
      </c>
      <c r="CP209">
        <f t="shared" si="130"/>
        <v>48333.32</v>
      </c>
      <c r="CQ209">
        <f t="shared" si="131"/>
        <v>12083.33</v>
      </c>
      <c r="CR209">
        <f t="shared" si="132"/>
        <v>0</v>
      </c>
      <c r="CS209">
        <f t="shared" si="133"/>
        <v>0</v>
      </c>
      <c r="CT209">
        <f t="shared" si="134"/>
        <v>0</v>
      </c>
      <c r="CU209">
        <f t="shared" si="135"/>
        <v>0</v>
      </c>
      <c r="CV209">
        <f t="shared" si="136"/>
        <v>0</v>
      </c>
      <c r="CW209">
        <f t="shared" si="137"/>
        <v>0</v>
      </c>
      <c r="CX209">
        <f t="shared" si="138"/>
        <v>0</v>
      </c>
      <c r="CY209">
        <f t="shared" si="139"/>
        <v>0</v>
      </c>
      <c r="CZ209">
        <f t="shared" si="140"/>
        <v>0</v>
      </c>
      <c r="DC209" t="s">
        <v>3</v>
      </c>
      <c r="DD209" t="s">
        <v>3</v>
      </c>
      <c r="DE209" t="s">
        <v>3</v>
      </c>
      <c r="DF209" t="s">
        <v>3</v>
      </c>
      <c r="DG209" t="s">
        <v>3</v>
      </c>
      <c r="DH209" t="s">
        <v>3</v>
      </c>
      <c r="DI209" t="s">
        <v>3</v>
      </c>
      <c r="DJ209" t="s">
        <v>3</v>
      </c>
      <c r="DK209" t="s">
        <v>3</v>
      </c>
      <c r="DL209" t="s">
        <v>3</v>
      </c>
      <c r="DM209" t="s">
        <v>3</v>
      </c>
      <c r="DN209">
        <v>0</v>
      </c>
      <c r="DO209">
        <v>0</v>
      </c>
      <c r="DP209">
        <v>1</v>
      </c>
      <c r="DQ209">
        <v>1</v>
      </c>
      <c r="DU209">
        <v>1010</v>
      </c>
      <c r="DV209" t="s">
        <v>198</v>
      </c>
      <c r="DW209" t="s">
        <v>198</v>
      </c>
      <c r="DX209">
        <v>1</v>
      </c>
      <c r="EE209">
        <v>38447819</v>
      </c>
      <c r="EF209">
        <v>1</v>
      </c>
      <c r="EG209" t="s">
        <v>23</v>
      </c>
      <c r="EH209">
        <v>0</v>
      </c>
      <c r="EI209" t="s">
        <v>3</v>
      </c>
      <c r="EJ209">
        <v>4</v>
      </c>
      <c r="EK209">
        <v>0</v>
      </c>
      <c r="EL209" t="s">
        <v>24</v>
      </c>
      <c r="EM209" t="s">
        <v>25</v>
      </c>
      <c r="EO209" t="s">
        <v>3</v>
      </c>
      <c r="EQ209">
        <v>0</v>
      </c>
      <c r="ER209">
        <v>12083.33</v>
      </c>
      <c r="ES209">
        <v>12083.33</v>
      </c>
      <c r="ET209">
        <v>0</v>
      </c>
      <c r="EU209">
        <v>0</v>
      </c>
      <c r="EV209">
        <v>0</v>
      </c>
      <c r="EW209">
        <v>0</v>
      </c>
      <c r="EX209">
        <v>0</v>
      </c>
      <c r="EZ209">
        <v>5</v>
      </c>
      <c r="FC209">
        <v>1</v>
      </c>
      <c r="FD209">
        <v>18</v>
      </c>
      <c r="FF209">
        <v>14500</v>
      </c>
      <c r="FQ209">
        <v>0</v>
      </c>
      <c r="FR209">
        <f t="shared" si="141"/>
        <v>0</v>
      </c>
      <c r="FS209">
        <v>0</v>
      </c>
      <c r="FX209">
        <v>70</v>
      </c>
      <c r="FY209">
        <v>10</v>
      </c>
      <c r="GA209" t="s">
        <v>199</v>
      </c>
      <c r="GD209">
        <v>0</v>
      </c>
      <c r="GF209">
        <v>362208123</v>
      </c>
      <c r="GG209">
        <v>2</v>
      </c>
      <c r="GH209">
        <v>3</v>
      </c>
      <c r="GI209">
        <v>-2</v>
      </c>
      <c r="GJ209">
        <v>0</v>
      </c>
      <c r="GK209">
        <f>ROUND(R209*(R12)/100,2)</f>
        <v>0</v>
      </c>
      <c r="GL209">
        <f t="shared" si="142"/>
        <v>0</v>
      </c>
      <c r="GM209">
        <f t="shared" si="143"/>
        <v>48333.32</v>
      </c>
      <c r="GN209">
        <f t="shared" si="144"/>
        <v>0</v>
      </c>
      <c r="GO209">
        <f t="shared" si="145"/>
        <v>0</v>
      </c>
      <c r="GP209">
        <f t="shared" si="146"/>
        <v>48333.32</v>
      </c>
      <c r="GR209">
        <v>1</v>
      </c>
      <c r="GS209">
        <v>1</v>
      </c>
      <c r="GT209">
        <v>0</v>
      </c>
      <c r="GU209" t="s">
        <v>3</v>
      </c>
      <c r="GV209">
        <f t="shared" si="147"/>
        <v>0</v>
      </c>
      <c r="GW209">
        <v>1</v>
      </c>
      <c r="GX209">
        <f t="shared" si="148"/>
        <v>0</v>
      </c>
      <c r="HA209">
        <v>0</v>
      </c>
      <c r="HB209">
        <v>0</v>
      </c>
      <c r="HC209">
        <f t="shared" si="149"/>
        <v>0</v>
      </c>
      <c r="HE209" t="s">
        <v>200</v>
      </c>
      <c r="HF209" t="s">
        <v>200</v>
      </c>
      <c r="IK209">
        <v>0</v>
      </c>
    </row>
    <row r="210" spans="1:245" x14ac:dyDescent="0.2">
      <c r="A210">
        <v>18</v>
      </c>
      <c r="B210">
        <v>1</v>
      </c>
      <c r="C210">
        <v>162</v>
      </c>
      <c r="E210" t="s">
        <v>201</v>
      </c>
      <c r="F210" t="s">
        <v>196</v>
      </c>
      <c r="G210" t="s">
        <v>202</v>
      </c>
      <c r="H210" t="s">
        <v>198</v>
      </c>
      <c r="I210">
        <f>I208*J210</f>
        <v>1</v>
      </c>
      <c r="J210">
        <v>0.38461538461538458</v>
      </c>
      <c r="O210">
        <f t="shared" si="110"/>
        <v>97708.33</v>
      </c>
      <c r="P210">
        <f t="shared" si="111"/>
        <v>97708.33</v>
      </c>
      <c r="Q210">
        <f t="shared" si="112"/>
        <v>0</v>
      </c>
      <c r="R210">
        <f t="shared" si="113"/>
        <v>0</v>
      </c>
      <c r="S210">
        <f t="shared" si="114"/>
        <v>0</v>
      </c>
      <c r="T210">
        <f t="shared" si="115"/>
        <v>0</v>
      </c>
      <c r="U210">
        <f t="shared" si="116"/>
        <v>0</v>
      </c>
      <c r="V210">
        <f t="shared" si="117"/>
        <v>0</v>
      </c>
      <c r="W210">
        <f t="shared" si="118"/>
        <v>0</v>
      </c>
      <c r="X210">
        <f t="shared" si="119"/>
        <v>0</v>
      </c>
      <c r="Y210">
        <f t="shared" si="120"/>
        <v>0</v>
      </c>
      <c r="AA210">
        <v>38799519</v>
      </c>
      <c r="AB210">
        <f t="shared" si="121"/>
        <v>97708.33</v>
      </c>
      <c r="AC210">
        <f t="shared" si="122"/>
        <v>97708.33</v>
      </c>
      <c r="AD210">
        <f t="shared" si="123"/>
        <v>0</v>
      </c>
      <c r="AE210">
        <f t="shared" si="124"/>
        <v>0</v>
      </c>
      <c r="AF210">
        <f t="shared" si="125"/>
        <v>0</v>
      </c>
      <c r="AG210">
        <f t="shared" si="126"/>
        <v>0</v>
      </c>
      <c r="AH210">
        <f t="shared" si="127"/>
        <v>0</v>
      </c>
      <c r="AI210">
        <f t="shared" si="128"/>
        <v>0</v>
      </c>
      <c r="AJ210">
        <f t="shared" si="129"/>
        <v>0</v>
      </c>
      <c r="AK210">
        <v>97708.33</v>
      </c>
      <c r="AL210">
        <v>97708.33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70</v>
      </c>
      <c r="AU210">
        <v>10</v>
      </c>
      <c r="AV210">
        <v>1</v>
      </c>
      <c r="AW210">
        <v>1</v>
      </c>
      <c r="AZ210">
        <v>1</v>
      </c>
      <c r="BA210">
        <v>1</v>
      </c>
      <c r="BB210">
        <v>1</v>
      </c>
      <c r="BC210">
        <v>1</v>
      </c>
      <c r="BD210" t="s">
        <v>3</v>
      </c>
      <c r="BE210" t="s">
        <v>3</v>
      </c>
      <c r="BF210" t="s">
        <v>3</v>
      </c>
      <c r="BG210" t="s">
        <v>3</v>
      </c>
      <c r="BH210">
        <v>3</v>
      </c>
      <c r="BI210">
        <v>4</v>
      </c>
      <c r="BJ210" t="s">
        <v>3</v>
      </c>
      <c r="BM210">
        <v>0</v>
      </c>
      <c r="BN210">
        <v>0</v>
      </c>
      <c r="BO210" t="s">
        <v>3</v>
      </c>
      <c r="BP210">
        <v>0</v>
      </c>
      <c r="BQ210">
        <v>1</v>
      </c>
      <c r="BR210">
        <v>0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 t="s">
        <v>3</v>
      </c>
      <c r="BZ210">
        <v>70</v>
      </c>
      <c r="CA210">
        <v>10</v>
      </c>
      <c r="CE210">
        <v>0</v>
      </c>
      <c r="CF210">
        <v>0</v>
      </c>
      <c r="CG210">
        <v>0</v>
      </c>
      <c r="CM210">
        <v>0</v>
      </c>
      <c r="CN210" t="s">
        <v>3</v>
      </c>
      <c r="CO210">
        <v>0</v>
      </c>
      <c r="CP210">
        <f t="shared" si="130"/>
        <v>97708.33</v>
      </c>
      <c r="CQ210">
        <f t="shared" si="131"/>
        <v>97708.33</v>
      </c>
      <c r="CR210">
        <f t="shared" si="132"/>
        <v>0</v>
      </c>
      <c r="CS210">
        <f t="shared" si="133"/>
        <v>0</v>
      </c>
      <c r="CT210">
        <f t="shared" si="134"/>
        <v>0</v>
      </c>
      <c r="CU210">
        <f t="shared" si="135"/>
        <v>0</v>
      </c>
      <c r="CV210">
        <f t="shared" si="136"/>
        <v>0</v>
      </c>
      <c r="CW210">
        <f t="shared" si="137"/>
        <v>0</v>
      </c>
      <c r="CX210">
        <f t="shared" si="138"/>
        <v>0</v>
      </c>
      <c r="CY210">
        <f t="shared" si="139"/>
        <v>0</v>
      </c>
      <c r="CZ210">
        <f t="shared" si="140"/>
        <v>0</v>
      </c>
      <c r="DC210" t="s">
        <v>3</v>
      </c>
      <c r="DD210" t="s">
        <v>3</v>
      </c>
      <c r="DE210" t="s">
        <v>3</v>
      </c>
      <c r="DF210" t="s">
        <v>3</v>
      </c>
      <c r="DG210" t="s">
        <v>3</v>
      </c>
      <c r="DH210" t="s">
        <v>3</v>
      </c>
      <c r="DI210" t="s">
        <v>3</v>
      </c>
      <c r="DJ210" t="s">
        <v>3</v>
      </c>
      <c r="DK210" t="s">
        <v>3</v>
      </c>
      <c r="DL210" t="s">
        <v>3</v>
      </c>
      <c r="DM210" t="s">
        <v>3</v>
      </c>
      <c r="DN210">
        <v>0</v>
      </c>
      <c r="DO210">
        <v>0</v>
      </c>
      <c r="DP210">
        <v>1</v>
      </c>
      <c r="DQ210">
        <v>1</v>
      </c>
      <c r="DU210">
        <v>1010</v>
      </c>
      <c r="DV210" t="s">
        <v>198</v>
      </c>
      <c r="DW210" t="s">
        <v>198</v>
      </c>
      <c r="DX210">
        <v>1</v>
      </c>
      <c r="EE210">
        <v>38447819</v>
      </c>
      <c r="EF210">
        <v>1</v>
      </c>
      <c r="EG210" t="s">
        <v>23</v>
      </c>
      <c r="EH210">
        <v>0</v>
      </c>
      <c r="EI210" t="s">
        <v>3</v>
      </c>
      <c r="EJ210">
        <v>4</v>
      </c>
      <c r="EK210">
        <v>0</v>
      </c>
      <c r="EL210" t="s">
        <v>24</v>
      </c>
      <c r="EM210" t="s">
        <v>25</v>
      </c>
      <c r="EO210" t="s">
        <v>3</v>
      </c>
      <c r="EQ210">
        <v>0</v>
      </c>
      <c r="ER210">
        <v>97708.33</v>
      </c>
      <c r="ES210">
        <v>97708.33</v>
      </c>
      <c r="ET210">
        <v>0</v>
      </c>
      <c r="EU210">
        <v>0</v>
      </c>
      <c r="EV210">
        <v>0</v>
      </c>
      <c r="EW210">
        <v>0</v>
      </c>
      <c r="EX210">
        <v>0</v>
      </c>
      <c r="EZ210">
        <v>5</v>
      </c>
      <c r="FC210">
        <v>1</v>
      </c>
      <c r="FD210">
        <v>18</v>
      </c>
      <c r="FF210">
        <v>117250</v>
      </c>
      <c r="FQ210">
        <v>0</v>
      </c>
      <c r="FR210">
        <f t="shared" si="141"/>
        <v>0</v>
      </c>
      <c r="FS210">
        <v>0</v>
      </c>
      <c r="FX210">
        <v>70</v>
      </c>
      <c r="FY210">
        <v>10</v>
      </c>
      <c r="GA210" t="s">
        <v>203</v>
      </c>
      <c r="GD210">
        <v>0</v>
      </c>
      <c r="GF210">
        <v>1107057996</v>
      </c>
      <c r="GG210">
        <v>2</v>
      </c>
      <c r="GH210">
        <v>3</v>
      </c>
      <c r="GI210">
        <v>-2</v>
      </c>
      <c r="GJ210">
        <v>0</v>
      </c>
      <c r="GK210">
        <f>ROUND(R210*(R12)/100,2)</f>
        <v>0</v>
      </c>
      <c r="GL210">
        <f t="shared" si="142"/>
        <v>0</v>
      </c>
      <c r="GM210">
        <f t="shared" si="143"/>
        <v>97708.33</v>
      </c>
      <c r="GN210">
        <f t="shared" si="144"/>
        <v>0</v>
      </c>
      <c r="GO210">
        <f t="shared" si="145"/>
        <v>0</v>
      </c>
      <c r="GP210">
        <f t="shared" si="146"/>
        <v>97708.33</v>
      </c>
      <c r="GR210">
        <v>1</v>
      </c>
      <c r="GS210">
        <v>1</v>
      </c>
      <c r="GT210">
        <v>0</v>
      </c>
      <c r="GU210" t="s">
        <v>3</v>
      </c>
      <c r="GV210">
        <f t="shared" si="147"/>
        <v>0</v>
      </c>
      <c r="GW210">
        <v>1</v>
      </c>
      <c r="GX210">
        <f t="shared" si="148"/>
        <v>0</v>
      </c>
      <c r="HA210">
        <v>0</v>
      </c>
      <c r="HB210">
        <v>0</v>
      </c>
      <c r="HC210">
        <f t="shared" si="149"/>
        <v>0</v>
      </c>
      <c r="HE210" t="s">
        <v>200</v>
      </c>
      <c r="HF210" t="s">
        <v>200</v>
      </c>
      <c r="IK210">
        <v>0</v>
      </c>
    </row>
    <row r="211" spans="1:245" x14ac:dyDescent="0.2">
      <c r="A211">
        <v>18</v>
      </c>
      <c r="B211">
        <v>1</v>
      </c>
      <c r="C211">
        <v>163</v>
      </c>
      <c r="E211" t="s">
        <v>204</v>
      </c>
      <c r="F211" t="s">
        <v>196</v>
      </c>
      <c r="G211" t="s">
        <v>205</v>
      </c>
      <c r="H211" t="s">
        <v>198</v>
      </c>
      <c r="I211">
        <f>I208*J211</f>
        <v>1</v>
      </c>
      <c r="J211">
        <v>0.38461538461538458</v>
      </c>
      <c r="O211">
        <f t="shared" si="110"/>
        <v>7083.33</v>
      </c>
      <c r="P211">
        <f t="shared" si="111"/>
        <v>7083.33</v>
      </c>
      <c r="Q211">
        <f t="shared" si="112"/>
        <v>0</v>
      </c>
      <c r="R211">
        <f t="shared" si="113"/>
        <v>0</v>
      </c>
      <c r="S211">
        <f t="shared" si="114"/>
        <v>0</v>
      </c>
      <c r="T211">
        <f t="shared" si="115"/>
        <v>0</v>
      </c>
      <c r="U211">
        <f t="shared" si="116"/>
        <v>0</v>
      </c>
      <c r="V211">
        <f t="shared" si="117"/>
        <v>0</v>
      </c>
      <c r="W211">
        <f t="shared" si="118"/>
        <v>0</v>
      </c>
      <c r="X211">
        <f t="shared" si="119"/>
        <v>0</v>
      </c>
      <c r="Y211">
        <f t="shared" si="120"/>
        <v>0</v>
      </c>
      <c r="AA211">
        <v>38799519</v>
      </c>
      <c r="AB211">
        <f t="shared" si="121"/>
        <v>7083.33</v>
      </c>
      <c r="AC211">
        <f t="shared" si="122"/>
        <v>7083.33</v>
      </c>
      <c r="AD211">
        <f t="shared" si="123"/>
        <v>0</v>
      </c>
      <c r="AE211">
        <f t="shared" si="124"/>
        <v>0</v>
      </c>
      <c r="AF211">
        <f t="shared" si="125"/>
        <v>0</v>
      </c>
      <c r="AG211">
        <f t="shared" si="126"/>
        <v>0</v>
      </c>
      <c r="AH211">
        <f t="shared" si="127"/>
        <v>0</v>
      </c>
      <c r="AI211">
        <f t="shared" si="128"/>
        <v>0</v>
      </c>
      <c r="AJ211">
        <f t="shared" si="129"/>
        <v>0</v>
      </c>
      <c r="AK211">
        <v>7083.33</v>
      </c>
      <c r="AL211">
        <v>7083.33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70</v>
      </c>
      <c r="AU211">
        <v>10</v>
      </c>
      <c r="AV211">
        <v>1</v>
      </c>
      <c r="AW211">
        <v>1</v>
      </c>
      <c r="AZ211">
        <v>1</v>
      </c>
      <c r="BA211">
        <v>1</v>
      </c>
      <c r="BB211">
        <v>1</v>
      </c>
      <c r="BC211">
        <v>1</v>
      </c>
      <c r="BD211" t="s">
        <v>3</v>
      </c>
      <c r="BE211" t="s">
        <v>3</v>
      </c>
      <c r="BF211" t="s">
        <v>3</v>
      </c>
      <c r="BG211" t="s">
        <v>3</v>
      </c>
      <c r="BH211">
        <v>3</v>
      </c>
      <c r="BI211">
        <v>4</v>
      </c>
      <c r="BJ211" t="s">
        <v>3</v>
      </c>
      <c r="BM211">
        <v>0</v>
      </c>
      <c r="BN211">
        <v>0</v>
      </c>
      <c r="BO211" t="s">
        <v>3</v>
      </c>
      <c r="BP211">
        <v>0</v>
      </c>
      <c r="BQ211">
        <v>1</v>
      </c>
      <c r="BR211">
        <v>0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 t="s">
        <v>3</v>
      </c>
      <c r="BZ211">
        <v>70</v>
      </c>
      <c r="CA211">
        <v>10</v>
      </c>
      <c r="CE211">
        <v>0</v>
      </c>
      <c r="CF211">
        <v>0</v>
      </c>
      <c r="CG211">
        <v>0</v>
      </c>
      <c r="CM211">
        <v>0</v>
      </c>
      <c r="CN211" t="s">
        <v>3</v>
      </c>
      <c r="CO211">
        <v>0</v>
      </c>
      <c r="CP211">
        <f t="shared" si="130"/>
        <v>7083.33</v>
      </c>
      <c r="CQ211">
        <f t="shared" si="131"/>
        <v>7083.33</v>
      </c>
      <c r="CR211">
        <f t="shared" si="132"/>
        <v>0</v>
      </c>
      <c r="CS211">
        <f t="shared" si="133"/>
        <v>0</v>
      </c>
      <c r="CT211">
        <f t="shared" si="134"/>
        <v>0</v>
      </c>
      <c r="CU211">
        <f t="shared" si="135"/>
        <v>0</v>
      </c>
      <c r="CV211">
        <f t="shared" si="136"/>
        <v>0</v>
      </c>
      <c r="CW211">
        <f t="shared" si="137"/>
        <v>0</v>
      </c>
      <c r="CX211">
        <f t="shared" si="138"/>
        <v>0</v>
      </c>
      <c r="CY211">
        <f t="shared" si="139"/>
        <v>0</v>
      </c>
      <c r="CZ211">
        <f t="shared" si="140"/>
        <v>0</v>
      </c>
      <c r="DC211" t="s">
        <v>3</v>
      </c>
      <c r="DD211" t="s">
        <v>3</v>
      </c>
      <c r="DE211" t="s">
        <v>3</v>
      </c>
      <c r="DF211" t="s">
        <v>3</v>
      </c>
      <c r="DG211" t="s">
        <v>3</v>
      </c>
      <c r="DH211" t="s">
        <v>3</v>
      </c>
      <c r="DI211" t="s">
        <v>3</v>
      </c>
      <c r="DJ211" t="s">
        <v>3</v>
      </c>
      <c r="DK211" t="s">
        <v>3</v>
      </c>
      <c r="DL211" t="s">
        <v>3</v>
      </c>
      <c r="DM211" t="s">
        <v>3</v>
      </c>
      <c r="DN211">
        <v>0</v>
      </c>
      <c r="DO211">
        <v>0</v>
      </c>
      <c r="DP211">
        <v>1</v>
      </c>
      <c r="DQ211">
        <v>1</v>
      </c>
      <c r="DU211">
        <v>1010</v>
      </c>
      <c r="DV211" t="s">
        <v>198</v>
      </c>
      <c r="DW211" t="s">
        <v>198</v>
      </c>
      <c r="DX211">
        <v>1</v>
      </c>
      <c r="EE211">
        <v>38447819</v>
      </c>
      <c r="EF211">
        <v>1</v>
      </c>
      <c r="EG211" t="s">
        <v>23</v>
      </c>
      <c r="EH211">
        <v>0</v>
      </c>
      <c r="EI211" t="s">
        <v>3</v>
      </c>
      <c r="EJ211">
        <v>4</v>
      </c>
      <c r="EK211">
        <v>0</v>
      </c>
      <c r="EL211" t="s">
        <v>24</v>
      </c>
      <c r="EM211" t="s">
        <v>25</v>
      </c>
      <c r="EO211" t="s">
        <v>3</v>
      </c>
      <c r="EQ211">
        <v>0</v>
      </c>
      <c r="ER211">
        <v>7083.33</v>
      </c>
      <c r="ES211">
        <v>7083.33</v>
      </c>
      <c r="ET211">
        <v>0</v>
      </c>
      <c r="EU211">
        <v>0</v>
      </c>
      <c r="EV211">
        <v>0</v>
      </c>
      <c r="EW211">
        <v>0</v>
      </c>
      <c r="EX211">
        <v>0</v>
      </c>
      <c r="EZ211">
        <v>5</v>
      </c>
      <c r="FC211">
        <v>1</v>
      </c>
      <c r="FD211">
        <v>18</v>
      </c>
      <c r="FF211">
        <v>8500</v>
      </c>
      <c r="FQ211">
        <v>0</v>
      </c>
      <c r="FR211">
        <f t="shared" si="141"/>
        <v>0</v>
      </c>
      <c r="FS211">
        <v>0</v>
      </c>
      <c r="FX211">
        <v>70</v>
      </c>
      <c r="FY211">
        <v>10</v>
      </c>
      <c r="GA211" t="s">
        <v>206</v>
      </c>
      <c r="GD211">
        <v>0</v>
      </c>
      <c r="GF211">
        <v>1764557469</v>
      </c>
      <c r="GG211">
        <v>2</v>
      </c>
      <c r="GH211">
        <v>3</v>
      </c>
      <c r="GI211">
        <v>-2</v>
      </c>
      <c r="GJ211">
        <v>0</v>
      </c>
      <c r="GK211">
        <f>ROUND(R211*(R12)/100,2)</f>
        <v>0</v>
      </c>
      <c r="GL211">
        <f t="shared" si="142"/>
        <v>0</v>
      </c>
      <c r="GM211">
        <f t="shared" si="143"/>
        <v>7083.33</v>
      </c>
      <c r="GN211">
        <f t="shared" si="144"/>
        <v>0</v>
      </c>
      <c r="GO211">
        <f t="shared" si="145"/>
        <v>0</v>
      </c>
      <c r="GP211">
        <f t="shared" si="146"/>
        <v>7083.33</v>
      </c>
      <c r="GR211">
        <v>1</v>
      </c>
      <c r="GS211">
        <v>1</v>
      </c>
      <c r="GT211">
        <v>0</v>
      </c>
      <c r="GU211" t="s">
        <v>3</v>
      </c>
      <c r="GV211">
        <f t="shared" si="147"/>
        <v>0</v>
      </c>
      <c r="GW211">
        <v>1</v>
      </c>
      <c r="GX211">
        <f t="shared" si="148"/>
        <v>0</v>
      </c>
      <c r="HA211">
        <v>0</v>
      </c>
      <c r="HB211">
        <v>0</v>
      </c>
      <c r="HC211">
        <f t="shared" si="149"/>
        <v>0</v>
      </c>
      <c r="HE211" t="s">
        <v>200</v>
      </c>
      <c r="HF211" t="s">
        <v>200</v>
      </c>
      <c r="IK211">
        <v>0</v>
      </c>
    </row>
    <row r="212" spans="1:245" x14ac:dyDescent="0.2">
      <c r="A212">
        <v>18</v>
      </c>
      <c r="B212">
        <v>1</v>
      </c>
      <c r="C212">
        <v>164</v>
      </c>
      <c r="E212" t="s">
        <v>207</v>
      </c>
      <c r="F212" t="s">
        <v>196</v>
      </c>
      <c r="G212" t="s">
        <v>208</v>
      </c>
      <c r="H212" t="s">
        <v>198</v>
      </c>
      <c r="I212">
        <f>I208*J212</f>
        <v>2</v>
      </c>
      <c r="J212">
        <v>0.76923076923076916</v>
      </c>
      <c r="O212">
        <f t="shared" si="110"/>
        <v>58583.34</v>
      </c>
      <c r="P212">
        <f t="shared" si="111"/>
        <v>58583.34</v>
      </c>
      <c r="Q212">
        <f t="shared" si="112"/>
        <v>0</v>
      </c>
      <c r="R212">
        <f t="shared" si="113"/>
        <v>0</v>
      </c>
      <c r="S212">
        <f t="shared" si="114"/>
        <v>0</v>
      </c>
      <c r="T212">
        <f t="shared" si="115"/>
        <v>0</v>
      </c>
      <c r="U212">
        <f t="shared" si="116"/>
        <v>0</v>
      </c>
      <c r="V212">
        <f t="shared" si="117"/>
        <v>0</v>
      </c>
      <c r="W212">
        <f t="shared" si="118"/>
        <v>0</v>
      </c>
      <c r="X212">
        <f t="shared" si="119"/>
        <v>0</v>
      </c>
      <c r="Y212">
        <f t="shared" si="120"/>
        <v>0</v>
      </c>
      <c r="AA212">
        <v>38799519</v>
      </c>
      <c r="AB212">
        <f t="shared" si="121"/>
        <v>29291.67</v>
      </c>
      <c r="AC212">
        <f t="shared" si="122"/>
        <v>29291.67</v>
      </c>
      <c r="AD212">
        <f t="shared" si="123"/>
        <v>0</v>
      </c>
      <c r="AE212">
        <f t="shared" si="124"/>
        <v>0</v>
      </c>
      <c r="AF212">
        <f t="shared" si="125"/>
        <v>0</v>
      </c>
      <c r="AG212">
        <f t="shared" si="126"/>
        <v>0</v>
      </c>
      <c r="AH212">
        <f t="shared" si="127"/>
        <v>0</v>
      </c>
      <c r="AI212">
        <f t="shared" si="128"/>
        <v>0</v>
      </c>
      <c r="AJ212">
        <f t="shared" si="129"/>
        <v>0</v>
      </c>
      <c r="AK212">
        <v>29291.67</v>
      </c>
      <c r="AL212">
        <v>29291.67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70</v>
      </c>
      <c r="AU212">
        <v>10</v>
      </c>
      <c r="AV212">
        <v>1</v>
      </c>
      <c r="AW212">
        <v>1</v>
      </c>
      <c r="AZ212">
        <v>1</v>
      </c>
      <c r="BA212">
        <v>1</v>
      </c>
      <c r="BB212">
        <v>1</v>
      </c>
      <c r="BC212">
        <v>1</v>
      </c>
      <c r="BD212" t="s">
        <v>3</v>
      </c>
      <c r="BE212" t="s">
        <v>3</v>
      </c>
      <c r="BF212" t="s">
        <v>3</v>
      </c>
      <c r="BG212" t="s">
        <v>3</v>
      </c>
      <c r="BH212">
        <v>3</v>
      </c>
      <c r="BI212">
        <v>4</v>
      </c>
      <c r="BJ212" t="s">
        <v>3</v>
      </c>
      <c r="BM212">
        <v>0</v>
      </c>
      <c r="BN212">
        <v>0</v>
      </c>
      <c r="BO212" t="s">
        <v>3</v>
      </c>
      <c r="BP212">
        <v>0</v>
      </c>
      <c r="BQ212">
        <v>1</v>
      </c>
      <c r="BR212">
        <v>0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 t="s">
        <v>3</v>
      </c>
      <c r="BZ212">
        <v>70</v>
      </c>
      <c r="CA212">
        <v>10</v>
      </c>
      <c r="CE212">
        <v>0</v>
      </c>
      <c r="CF212">
        <v>0</v>
      </c>
      <c r="CG212">
        <v>0</v>
      </c>
      <c r="CM212">
        <v>0</v>
      </c>
      <c r="CN212" t="s">
        <v>3</v>
      </c>
      <c r="CO212">
        <v>0</v>
      </c>
      <c r="CP212">
        <f t="shared" si="130"/>
        <v>58583.34</v>
      </c>
      <c r="CQ212">
        <f t="shared" si="131"/>
        <v>29291.67</v>
      </c>
      <c r="CR212">
        <f t="shared" si="132"/>
        <v>0</v>
      </c>
      <c r="CS212">
        <f t="shared" si="133"/>
        <v>0</v>
      </c>
      <c r="CT212">
        <f t="shared" si="134"/>
        <v>0</v>
      </c>
      <c r="CU212">
        <f t="shared" si="135"/>
        <v>0</v>
      </c>
      <c r="CV212">
        <f t="shared" si="136"/>
        <v>0</v>
      </c>
      <c r="CW212">
        <f t="shared" si="137"/>
        <v>0</v>
      </c>
      <c r="CX212">
        <f t="shared" si="138"/>
        <v>0</v>
      </c>
      <c r="CY212">
        <f t="shared" si="139"/>
        <v>0</v>
      </c>
      <c r="CZ212">
        <f t="shared" si="140"/>
        <v>0</v>
      </c>
      <c r="DC212" t="s">
        <v>3</v>
      </c>
      <c r="DD212" t="s">
        <v>3</v>
      </c>
      <c r="DE212" t="s">
        <v>3</v>
      </c>
      <c r="DF212" t="s">
        <v>3</v>
      </c>
      <c r="DG212" t="s">
        <v>3</v>
      </c>
      <c r="DH212" t="s">
        <v>3</v>
      </c>
      <c r="DI212" t="s">
        <v>3</v>
      </c>
      <c r="DJ212" t="s">
        <v>3</v>
      </c>
      <c r="DK212" t="s">
        <v>3</v>
      </c>
      <c r="DL212" t="s">
        <v>3</v>
      </c>
      <c r="DM212" t="s">
        <v>3</v>
      </c>
      <c r="DN212">
        <v>0</v>
      </c>
      <c r="DO212">
        <v>0</v>
      </c>
      <c r="DP212">
        <v>1</v>
      </c>
      <c r="DQ212">
        <v>1</v>
      </c>
      <c r="DU212">
        <v>1010</v>
      </c>
      <c r="DV212" t="s">
        <v>198</v>
      </c>
      <c r="DW212" t="s">
        <v>198</v>
      </c>
      <c r="DX212">
        <v>1</v>
      </c>
      <c r="EE212">
        <v>38447819</v>
      </c>
      <c r="EF212">
        <v>1</v>
      </c>
      <c r="EG212" t="s">
        <v>23</v>
      </c>
      <c r="EH212">
        <v>0</v>
      </c>
      <c r="EI212" t="s">
        <v>3</v>
      </c>
      <c r="EJ212">
        <v>4</v>
      </c>
      <c r="EK212">
        <v>0</v>
      </c>
      <c r="EL212" t="s">
        <v>24</v>
      </c>
      <c r="EM212" t="s">
        <v>25</v>
      </c>
      <c r="EO212" t="s">
        <v>3</v>
      </c>
      <c r="EQ212">
        <v>0</v>
      </c>
      <c r="ER212">
        <v>29291.67</v>
      </c>
      <c r="ES212">
        <v>29291.67</v>
      </c>
      <c r="ET212">
        <v>0</v>
      </c>
      <c r="EU212">
        <v>0</v>
      </c>
      <c r="EV212">
        <v>0</v>
      </c>
      <c r="EW212">
        <v>0</v>
      </c>
      <c r="EX212">
        <v>0</v>
      </c>
      <c r="EZ212">
        <v>5</v>
      </c>
      <c r="FC212">
        <v>1</v>
      </c>
      <c r="FD212">
        <v>18</v>
      </c>
      <c r="FF212">
        <v>35150</v>
      </c>
      <c r="FQ212">
        <v>0</v>
      </c>
      <c r="FR212">
        <f t="shared" si="141"/>
        <v>0</v>
      </c>
      <c r="FS212">
        <v>0</v>
      </c>
      <c r="FX212">
        <v>70</v>
      </c>
      <c r="FY212">
        <v>10</v>
      </c>
      <c r="GA212" t="s">
        <v>209</v>
      </c>
      <c r="GD212">
        <v>0</v>
      </c>
      <c r="GF212">
        <v>-1578162312</v>
      </c>
      <c r="GG212">
        <v>2</v>
      </c>
      <c r="GH212">
        <v>3</v>
      </c>
      <c r="GI212">
        <v>-2</v>
      </c>
      <c r="GJ212">
        <v>0</v>
      </c>
      <c r="GK212">
        <f>ROUND(R212*(R12)/100,2)</f>
        <v>0</v>
      </c>
      <c r="GL212">
        <f t="shared" si="142"/>
        <v>0</v>
      </c>
      <c r="GM212">
        <f t="shared" si="143"/>
        <v>58583.34</v>
      </c>
      <c r="GN212">
        <f t="shared" si="144"/>
        <v>0</v>
      </c>
      <c r="GO212">
        <f t="shared" si="145"/>
        <v>0</v>
      </c>
      <c r="GP212">
        <f t="shared" si="146"/>
        <v>58583.34</v>
      </c>
      <c r="GR212">
        <v>1</v>
      </c>
      <c r="GS212">
        <v>1</v>
      </c>
      <c r="GT212">
        <v>0</v>
      </c>
      <c r="GU212" t="s">
        <v>3</v>
      </c>
      <c r="GV212">
        <f t="shared" si="147"/>
        <v>0</v>
      </c>
      <c r="GW212">
        <v>1</v>
      </c>
      <c r="GX212">
        <f t="shared" si="148"/>
        <v>0</v>
      </c>
      <c r="HA212">
        <v>0</v>
      </c>
      <c r="HB212">
        <v>0</v>
      </c>
      <c r="HC212">
        <f t="shared" si="149"/>
        <v>0</v>
      </c>
      <c r="HE212" t="s">
        <v>200</v>
      </c>
      <c r="HF212" t="s">
        <v>200</v>
      </c>
      <c r="IK212">
        <v>0</v>
      </c>
    </row>
    <row r="213" spans="1:245" x14ac:dyDescent="0.2">
      <c r="A213">
        <v>18</v>
      </c>
      <c r="B213">
        <v>1</v>
      </c>
      <c r="C213">
        <v>165</v>
      </c>
      <c r="E213" t="s">
        <v>210</v>
      </c>
      <c r="F213" t="s">
        <v>196</v>
      </c>
      <c r="G213" t="s">
        <v>211</v>
      </c>
      <c r="H213" t="s">
        <v>198</v>
      </c>
      <c r="I213">
        <f>I208*J213</f>
        <v>1</v>
      </c>
      <c r="J213">
        <v>0.38461538461538458</v>
      </c>
      <c r="O213">
        <f t="shared" si="110"/>
        <v>15000</v>
      </c>
      <c r="P213">
        <f t="shared" si="111"/>
        <v>15000</v>
      </c>
      <c r="Q213">
        <f t="shared" si="112"/>
        <v>0</v>
      </c>
      <c r="R213">
        <f t="shared" si="113"/>
        <v>0</v>
      </c>
      <c r="S213">
        <f t="shared" si="114"/>
        <v>0</v>
      </c>
      <c r="T213">
        <f t="shared" si="115"/>
        <v>0</v>
      </c>
      <c r="U213">
        <f t="shared" si="116"/>
        <v>0</v>
      </c>
      <c r="V213">
        <f t="shared" si="117"/>
        <v>0</v>
      </c>
      <c r="W213">
        <f t="shared" si="118"/>
        <v>0</v>
      </c>
      <c r="X213">
        <f t="shared" si="119"/>
        <v>0</v>
      </c>
      <c r="Y213">
        <f t="shared" si="120"/>
        <v>0</v>
      </c>
      <c r="AA213">
        <v>38799519</v>
      </c>
      <c r="AB213">
        <f t="shared" si="121"/>
        <v>15000</v>
      </c>
      <c r="AC213">
        <f t="shared" si="122"/>
        <v>15000</v>
      </c>
      <c r="AD213">
        <f t="shared" si="123"/>
        <v>0</v>
      </c>
      <c r="AE213">
        <f t="shared" si="124"/>
        <v>0</v>
      </c>
      <c r="AF213">
        <f t="shared" si="125"/>
        <v>0</v>
      </c>
      <c r="AG213">
        <f t="shared" si="126"/>
        <v>0</v>
      </c>
      <c r="AH213">
        <f t="shared" si="127"/>
        <v>0</v>
      </c>
      <c r="AI213">
        <f t="shared" si="128"/>
        <v>0</v>
      </c>
      <c r="AJ213">
        <f t="shared" si="129"/>
        <v>0</v>
      </c>
      <c r="AK213">
        <v>15000</v>
      </c>
      <c r="AL213">
        <v>15000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70</v>
      </c>
      <c r="AU213">
        <v>10</v>
      </c>
      <c r="AV213">
        <v>1</v>
      </c>
      <c r="AW213">
        <v>1</v>
      </c>
      <c r="AZ213">
        <v>1</v>
      </c>
      <c r="BA213">
        <v>1</v>
      </c>
      <c r="BB213">
        <v>1</v>
      </c>
      <c r="BC213">
        <v>1</v>
      </c>
      <c r="BD213" t="s">
        <v>3</v>
      </c>
      <c r="BE213" t="s">
        <v>3</v>
      </c>
      <c r="BF213" t="s">
        <v>3</v>
      </c>
      <c r="BG213" t="s">
        <v>3</v>
      </c>
      <c r="BH213">
        <v>3</v>
      </c>
      <c r="BI213">
        <v>4</v>
      </c>
      <c r="BJ213" t="s">
        <v>3</v>
      </c>
      <c r="BM213">
        <v>0</v>
      </c>
      <c r="BN213">
        <v>0</v>
      </c>
      <c r="BO213" t="s">
        <v>3</v>
      </c>
      <c r="BP213">
        <v>0</v>
      </c>
      <c r="BQ213">
        <v>1</v>
      </c>
      <c r="BR213">
        <v>0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 t="s">
        <v>3</v>
      </c>
      <c r="BZ213">
        <v>70</v>
      </c>
      <c r="CA213">
        <v>10</v>
      </c>
      <c r="CE213">
        <v>0</v>
      </c>
      <c r="CF213">
        <v>0</v>
      </c>
      <c r="CG213">
        <v>0</v>
      </c>
      <c r="CM213">
        <v>0</v>
      </c>
      <c r="CN213" t="s">
        <v>3</v>
      </c>
      <c r="CO213">
        <v>0</v>
      </c>
      <c r="CP213">
        <f t="shared" si="130"/>
        <v>15000</v>
      </c>
      <c r="CQ213">
        <f t="shared" si="131"/>
        <v>15000</v>
      </c>
      <c r="CR213">
        <f t="shared" si="132"/>
        <v>0</v>
      </c>
      <c r="CS213">
        <f t="shared" si="133"/>
        <v>0</v>
      </c>
      <c r="CT213">
        <f t="shared" si="134"/>
        <v>0</v>
      </c>
      <c r="CU213">
        <f t="shared" si="135"/>
        <v>0</v>
      </c>
      <c r="CV213">
        <f t="shared" si="136"/>
        <v>0</v>
      </c>
      <c r="CW213">
        <f t="shared" si="137"/>
        <v>0</v>
      </c>
      <c r="CX213">
        <f t="shared" si="138"/>
        <v>0</v>
      </c>
      <c r="CY213">
        <f t="shared" si="139"/>
        <v>0</v>
      </c>
      <c r="CZ213">
        <f t="shared" si="140"/>
        <v>0</v>
      </c>
      <c r="DC213" t="s">
        <v>3</v>
      </c>
      <c r="DD213" t="s">
        <v>3</v>
      </c>
      <c r="DE213" t="s">
        <v>3</v>
      </c>
      <c r="DF213" t="s">
        <v>3</v>
      </c>
      <c r="DG213" t="s">
        <v>3</v>
      </c>
      <c r="DH213" t="s">
        <v>3</v>
      </c>
      <c r="DI213" t="s">
        <v>3</v>
      </c>
      <c r="DJ213" t="s">
        <v>3</v>
      </c>
      <c r="DK213" t="s">
        <v>3</v>
      </c>
      <c r="DL213" t="s">
        <v>3</v>
      </c>
      <c r="DM213" t="s">
        <v>3</v>
      </c>
      <c r="DN213">
        <v>0</v>
      </c>
      <c r="DO213">
        <v>0</v>
      </c>
      <c r="DP213">
        <v>1</v>
      </c>
      <c r="DQ213">
        <v>1</v>
      </c>
      <c r="DU213">
        <v>1010</v>
      </c>
      <c r="DV213" t="s">
        <v>198</v>
      </c>
      <c r="DW213" t="s">
        <v>198</v>
      </c>
      <c r="DX213">
        <v>1</v>
      </c>
      <c r="EE213">
        <v>38447819</v>
      </c>
      <c r="EF213">
        <v>1</v>
      </c>
      <c r="EG213" t="s">
        <v>23</v>
      </c>
      <c r="EH213">
        <v>0</v>
      </c>
      <c r="EI213" t="s">
        <v>3</v>
      </c>
      <c r="EJ213">
        <v>4</v>
      </c>
      <c r="EK213">
        <v>0</v>
      </c>
      <c r="EL213" t="s">
        <v>24</v>
      </c>
      <c r="EM213" t="s">
        <v>25</v>
      </c>
      <c r="EO213" t="s">
        <v>3</v>
      </c>
      <c r="EQ213">
        <v>0</v>
      </c>
      <c r="ER213">
        <v>15000</v>
      </c>
      <c r="ES213">
        <v>15000</v>
      </c>
      <c r="ET213">
        <v>0</v>
      </c>
      <c r="EU213">
        <v>0</v>
      </c>
      <c r="EV213">
        <v>0</v>
      </c>
      <c r="EW213">
        <v>0</v>
      </c>
      <c r="EX213">
        <v>0</v>
      </c>
      <c r="EZ213">
        <v>5</v>
      </c>
      <c r="FC213">
        <v>1</v>
      </c>
      <c r="FD213">
        <v>18</v>
      </c>
      <c r="FF213">
        <v>18000</v>
      </c>
      <c r="FQ213">
        <v>0</v>
      </c>
      <c r="FR213">
        <f t="shared" si="141"/>
        <v>0</v>
      </c>
      <c r="FS213">
        <v>0</v>
      </c>
      <c r="FX213">
        <v>70</v>
      </c>
      <c r="FY213">
        <v>10</v>
      </c>
      <c r="GA213" t="s">
        <v>212</v>
      </c>
      <c r="GD213">
        <v>0</v>
      </c>
      <c r="GF213">
        <v>-1534509924</v>
      </c>
      <c r="GG213">
        <v>2</v>
      </c>
      <c r="GH213">
        <v>3</v>
      </c>
      <c r="GI213">
        <v>-2</v>
      </c>
      <c r="GJ213">
        <v>0</v>
      </c>
      <c r="GK213">
        <f>ROUND(R213*(R12)/100,2)</f>
        <v>0</v>
      </c>
      <c r="GL213">
        <f t="shared" si="142"/>
        <v>0</v>
      </c>
      <c r="GM213">
        <f t="shared" si="143"/>
        <v>15000</v>
      </c>
      <c r="GN213">
        <f t="shared" si="144"/>
        <v>0</v>
      </c>
      <c r="GO213">
        <f t="shared" si="145"/>
        <v>0</v>
      </c>
      <c r="GP213">
        <f t="shared" si="146"/>
        <v>15000</v>
      </c>
      <c r="GR213">
        <v>1</v>
      </c>
      <c r="GS213">
        <v>1</v>
      </c>
      <c r="GT213">
        <v>0</v>
      </c>
      <c r="GU213" t="s">
        <v>3</v>
      </c>
      <c r="GV213">
        <f t="shared" si="147"/>
        <v>0</v>
      </c>
      <c r="GW213">
        <v>1</v>
      </c>
      <c r="GX213">
        <f t="shared" si="148"/>
        <v>0</v>
      </c>
      <c r="HA213">
        <v>0</v>
      </c>
      <c r="HB213">
        <v>0</v>
      </c>
      <c r="HC213">
        <f t="shared" si="149"/>
        <v>0</v>
      </c>
      <c r="HE213" t="s">
        <v>200</v>
      </c>
      <c r="HF213" t="s">
        <v>200</v>
      </c>
      <c r="IK213">
        <v>0</v>
      </c>
    </row>
    <row r="214" spans="1:245" x14ac:dyDescent="0.2">
      <c r="A214">
        <v>18</v>
      </c>
      <c r="B214">
        <v>1</v>
      </c>
      <c r="C214">
        <v>166</v>
      </c>
      <c r="E214" t="s">
        <v>213</v>
      </c>
      <c r="F214" t="s">
        <v>196</v>
      </c>
      <c r="G214" t="s">
        <v>214</v>
      </c>
      <c r="H214" t="s">
        <v>198</v>
      </c>
      <c r="I214">
        <f>I208*J214</f>
        <v>1</v>
      </c>
      <c r="J214">
        <v>0.38461538461538458</v>
      </c>
      <c r="O214">
        <f t="shared" si="110"/>
        <v>15000</v>
      </c>
      <c r="P214">
        <f t="shared" si="111"/>
        <v>15000</v>
      </c>
      <c r="Q214">
        <f t="shared" si="112"/>
        <v>0</v>
      </c>
      <c r="R214">
        <f t="shared" si="113"/>
        <v>0</v>
      </c>
      <c r="S214">
        <f t="shared" si="114"/>
        <v>0</v>
      </c>
      <c r="T214">
        <f t="shared" si="115"/>
        <v>0</v>
      </c>
      <c r="U214">
        <f t="shared" si="116"/>
        <v>0</v>
      </c>
      <c r="V214">
        <f t="shared" si="117"/>
        <v>0</v>
      </c>
      <c r="W214">
        <f t="shared" si="118"/>
        <v>0</v>
      </c>
      <c r="X214">
        <f t="shared" si="119"/>
        <v>0</v>
      </c>
      <c r="Y214">
        <f t="shared" si="120"/>
        <v>0</v>
      </c>
      <c r="AA214">
        <v>38799519</v>
      </c>
      <c r="AB214">
        <f t="shared" si="121"/>
        <v>15000</v>
      </c>
      <c r="AC214">
        <f t="shared" si="122"/>
        <v>15000</v>
      </c>
      <c r="AD214">
        <f t="shared" si="123"/>
        <v>0</v>
      </c>
      <c r="AE214">
        <f t="shared" si="124"/>
        <v>0</v>
      </c>
      <c r="AF214">
        <f t="shared" si="125"/>
        <v>0</v>
      </c>
      <c r="AG214">
        <f t="shared" si="126"/>
        <v>0</v>
      </c>
      <c r="AH214">
        <f t="shared" si="127"/>
        <v>0</v>
      </c>
      <c r="AI214">
        <f t="shared" si="128"/>
        <v>0</v>
      </c>
      <c r="AJ214">
        <f t="shared" si="129"/>
        <v>0</v>
      </c>
      <c r="AK214">
        <v>15000</v>
      </c>
      <c r="AL214">
        <v>15000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70</v>
      </c>
      <c r="AU214">
        <v>10</v>
      </c>
      <c r="AV214">
        <v>1</v>
      </c>
      <c r="AW214">
        <v>1</v>
      </c>
      <c r="AZ214">
        <v>1</v>
      </c>
      <c r="BA214">
        <v>1</v>
      </c>
      <c r="BB214">
        <v>1</v>
      </c>
      <c r="BC214">
        <v>1</v>
      </c>
      <c r="BD214" t="s">
        <v>3</v>
      </c>
      <c r="BE214" t="s">
        <v>3</v>
      </c>
      <c r="BF214" t="s">
        <v>3</v>
      </c>
      <c r="BG214" t="s">
        <v>3</v>
      </c>
      <c r="BH214">
        <v>3</v>
      </c>
      <c r="BI214">
        <v>4</v>
      </c>
      <c r="BJ214" t="s">
        <v>3</v>
      </c>
      <c r="BM214">
        <v>0</v>
      </c>
      <c r="BN214">
        <v>0</v>
      </c>
      <c r="BO214" t="s">
        <v>3</v>
      </c>
      <c r="BP214">
        <v>0</v>
      </c>
      <c r="BQ214">
        <v>1</v>
      </c>
      <c r="BR214">
        <v>0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 t="s">
        <v>3</v>
      </c>
      <c r="BZ214">
        <v>70</v>
      </c>
      <c r="CA214">
        <v>10</v>
      </c>
      <c r="CE214">
        <v>0</v>
      </c>
      <c r="CF214">
        <v>0</v>
      </c>
      <c r="CG214">
        <v>0</v>
      </c>
      <c r="CM214">
        <v>0</v>
      </c>
      <c r="CN214" t="s">
        <v>3</v>
      </c>
      <c r="CO214">
        <v>0</v>
      </c>
      <c r="CP214">
        <f t="shared" si="130"/>
        <v>15000</v>
      </c>
      <c r="CQ214">
        <f t="shared" si="131"/>
        <v>15000</v>
      </c>
      <c r="CR214">
        <f t="shared" si="132"/>
        <v>0</v>
      </c>
      <c r="CS214">
        <f t="shared" si="133"/>
        <v>0</v>
      </c>
      <c r="CT214">
        <f t="shared" si="134"/>
        <v>0</v>
      </c>
      <c r="CU214">
        <f t="shared" si="135"/>
        <v>0</v>
      </c>
      <c r="CV214">
        <f t="shared" si="136"/>
        <v>0</v>
      </c>
      <c r="CW214">
        <f t="shared" si="137"/>
        <v>0</v>
      </c>
      <c r="CX214">
        <f t="shared" si="138"/>
        <v>0</v>
      </c>
      <c r="CY214">
        <f t="shared" si="139"/>
        <v>0</v>
      </c>
      <c r="CZ214">
        <f t="shared" si="140"/>
        <v>0</v>
      </c>
      <c r="DC214" t="s">
        <v>3</v>
      </c>
      <c r="DD214" t="s">
        <v>3</v>
      </c>
      <c r="DE214" t="s">
        <v>3</v>
      </c>
      <c r="DF214" t="s">
        <v>3</v>
      </c>
      <c r="DG214" t="s">
        <v>3</v>
      </c>
      <c r="DH214" t="s">
        <v>3</v>
      </c>
      <c r="DI214" t="s">
        <v>3</v>
      </c>
      <c r="DJ214" t="s">
        <v>3</v>
      </c>
      <c r="DK214" t="s">
        <v>3</v>
      </c>
      <c r="DL214" t="s">
        <v>3</v>
      </c>
      <c r="DM214" t="s">
        <v>3</v>
      </c>
      <c r="DN214">
        <v>0</v>
      </c>
      <c r="DO214">
        <v>0</v>
      </c>
      <c r="DP214">
        <v>1</v>
      </c>
      <c r="DQ214">
        <v>1</v>
      </c>
      <c r="DU214">
        <v>1010</v>
      </c>
      <c r="DV214" t="s">
        <v>198</v>
      </c>
      <c r="DW214" t="s">
        <v>198</v>
      </c>
      <c r="DX214">
        <v>1</v>
      </c>
      <c r="EE214">
        <v>38447819</v>
      </c>
      <c r="EF214">
        <v>1</v>
      </c>
      <c r="EG214" t="s">
        <v>23</v>
      </c>
      <c r="EH214">
        <v>0</v>
      </c>
      <c r="EI214" t="s">
        <v>3</v>
      </c>
      <c r="EJ214">
        <v>4</v>
      </c>
      <c r="EK214">
        <v>0</v>
      </c>
      <c r="EL214" t="s">
        <v>24</v>
      </c>
      <c r="EM214" t="s">
        <v>25</v>
      </c>
      <c r="EO214" t="s">
        <v>3</v>
      </c>
      <c r="EQ214">
        <v>0</v>
      </c>
      <c r="ER214">
        <v>15000</v>
      </c>
      <c r="ES214">
        <v>15000</v>
      </c>
      <c r="ET214">
        <v>0</v>
      </c>
      <c r="EU214">
        <v>0</v>
      </c>
      <c r="EV214">
        <v>0</v>
      </c>
      <c r="EW214">
        <v>0</v>
      </c>
      <c r="EX214">
        <v>0</v>
      </c>
      <c r="EZ214">
        <v>5</v>
      </c>
      <c r="FC214">
        <v>1</v>
      </c>
      <c r="FD214">
        <v>18</v>
      </c>
      <c r="FF214">
        <v>18000</v>
      </c>
      <c r="FQ214">
        <v>0</v>
      </c>
      <c r="FR214">
        <f t="shared" si="141"/>
        <v>0</v>
      </c>
      <c r="FS214">
        <v>0</v>
      </c>
      <c r="FX214">
        <v>70</v>
      </c>
      <c r="FY214">
        <v>10</v>
      </c>
      <c r="GA214" t="s">
        <v>212</v>
      </c>
      <c r="GD214">
        <v>0</v>
      </c>
      <c r="GF214">
        <v>1349994108</v>
      </c>
      <c r="GG214">
        <v>2</v>
      </c>
      <c r="GH214">
        <v>3</v>
      </c>
      <c r="GI214">
        <v>-2</v>
      </c>
      <c r="GJ214">
        <v>0</v>
      </c>
      <c r="GK214">
        <f>ROUND(R214*(R12)/100,2)</f>
        <v>0</v>
      </c>
      <c r="GL214">
        <f t="shared" si="142"/>
        <v>0</v>
      </c>
      <c r="GM214">
        <f t="shared" si="143"/>
        <v>15000</v>
      </c>
      <c r="GN214">
        <f t="shared" si="144"/>
        <v>0</v>
      </c>
      <c r="GO214">
        <f t="shared" si="145"/>
        <v>0</v>
      </c>
      <c r="GP214">
        <f t="shared" si="146"/>
        <v>15000</v>
      </c>
      <c r="GR214">
        <v>1</v>
      </c>
      <c r="GS214">
        <v>1</v>
      </c>
      <c r="GT214">
        <v>0</v>
      </c>
      <c r="GU214" t="s">
        <v>3</v>
      </c>
      <c r="GV214">
        <f t="shared" si="147"/>
        <v>0</v>
      </c>
      <c r="GW214">
        <v>1</v>
      </c>
      <c r="GX214">
        <f t="shared" si="148"/>
        <v>0</v>
      </c>
      <c r="HA214">
        <v>0</v>
      </c>
      <c r="HB214">
        <v>0</v>
      </c>
      <c r="HC214">
        <f t="shared" si="149"/>
        <v>0</v>
      </c>
      <c r="HE214" t="s">
        <v>200</v>
      </c>
      <c r="HF214" t="s">
        <v>200</v>
      </c>
      <c r="IK214">
        <v>0</v>
      </c>
    </row>
    <row r="215" spans="1:245" x14ac:dyDescent="0.2">
      <c r="A215">
        <v>18</v>
      </c>
      <c r="B215">
        <v>1</v>
      </c>
      <c r="C215">
        <v>167</v>
      </c>
      <c r="E215" t="s">
        <v>215</v>
      </c>
      <c r="F215" t="s">
        <v>196</v>
      </c>
      <c r="G215" t="s">
        <v>216</v>
      </c>
      <c r="H215" t="s">
        <v>198</v>
      </c>
      <c r="I215">
        <f>I208*J215</f>
        <v>1</v>
      </c>
      <c r="J215">
        <v>0.38461538461538458</v>
      </c>
      <c r="O215">
        <f t="shared" si="110"/>
        <v>15750</v>
      </c>
      <c r="P215">
        <f t="shared" si="111"/>
        <v>15750</v>
      </c>
      <c r="Q215">
        <f t="shared" si="112"/>
        <v>0</v>
      </c>
      <c r="R215">
        <f t="shared" si="113"/>
        <v>0</v>
      </c>
      <c r="S215">
        <f t="shared" si="114"/>
        <v>0</v>
      </c>
      <c r="T215">
        <f t="shared" si="115"/>
        <v>0</v>
      </c>
      <c r="U215">
        <f t="shared" si="116"/>
        <v>0</v>
      </c>
      <c r="V215">
        <f t="shared" si="117"/>
        <v>0</v>
      </c>
      <c r="W215">
        <f t="shared" si="118"/>
        <v>0</v>
      </c>
      <c r="X215">
        <f t="shared" si="119"/>
        <v>0</v>
      </c>
      <c r="Y215">
        <f t="shared" si="120"/>
        <v>0</v>
      </c>
      <c r="AA215">
        <v>38799519</v>
      </c>
      <c r="AB215">
        <f t="shared" si="121"/>
        <v>15750</v>
      </c>
      <c r="AC215">
        <f t="shared" si="122"/>
        <v>15750</v>
      </c>
      <c r="AD215">
        <f t="shared" si="123"/>
        <v>0</v>
      </c>
      <c r="AE215">
        <f t="shared" si="124"/>
        <v>0</v>
      </c>
      <c r="AF215">
        <f t="shared" si="125"/>
        <v>0</v>
      </c>
      <c r="AG215">
        <f t="shared" si="126"/>
        <v>0</v>
      </c>
      <c r="AH215">
        <f t="shared" si="127"/>
        <v>0</v>
      </c>
      <c r="AI215">
        <f t="shared" si="128"/>
        <v>0</v>
      </c>
      <c r="AJ215">
        <f t="shared" si="129"/>
        <v>0</v>
      </c>
      <c r="AK215">
        <v>15750</v>
      </c>
      <c r="AL215">
        <v>15750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70</v>
      </c>
      <c r="AU215">
        <v>10</v>
      </c>
      <c r="AV215">
        <v>1</v>
      </c>
      <c r="AW215">
        <v>1</v>
      </c>
      <c r="AZ215">
        <v>1</v>
      </c>
      <c r="BA215">
        <v>1</v>
      </c>
      <c r="BB215">
        <v>1</v>
      </c>
      <c r="BC215">
        <v>1</v>
      </c>
      <c r="BD215" t="s">
        <v>3</v>
      </c>
      <c r="BE215" t="s">
        <v>3</v>
      </c>
      <c r="BF215" t="s">
        <v>3</v>
      </c>
      <c r="BG215" t="s">
        <v>3</v>
      </c>
      <c r="BH215">
        <v>3</v>
      </c>
      <c r="BI215">
        <v>4</v>
      </c>
      <c r="BJ215" t="s">
        <v>3</v>
      </c>
      <c r="BM215">
        <v>0</v>
      </c>
      <c r="BN215">
        <v>0</v>
      </c>
      <c r="BO215" t="s">
        <v>3</v>
      </c>
      <c r="BP215">
        <v>0</v>
      </c>
      <c r="BQ215">
        <v>1</v>
      </c>
      <c r="BR215">
        <v>0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 t="s">
        <v>3</v>
      </c>
      <c r="BZ215">
        <v>70</v>
      </c>
      <c r="CA215">
        <v>10</v>
      </c>
      <c r="CE215">
        <v>0</v>
      </c>
      <c r="CF215">
        <v>0</v>
      </c>
      <c r="CG215">
        <v>0</v>
      </c>
      <c r="CM215">
        <v>0</v>
      </c>
      <c r="CN215" t="s">
        <v>3</v>
      </c>
      <c r="CO215">
        <v>0</v>
      </c>
      <c r="CP215">
        <f t="shared" si="130"/>
        <v>15750</v>
      </c>
      <c r="CQ215">
        <f t="shared" si="131"/>
        <v>15750</v>
      </c>
      <c r="CR215">
        <f t="shared" si="132"/>
        <v>0</v>
      </c>
      <c r="CS215">
        <f t="shared" si="133"/>
        <v>0</v>
      </c>
      <c r="CT215">
        <f t="shared" si="134"/>
        <v>0</v>
      </c>
      <c r="CU215">
        <f t="shared" si="135"/>
        <v>0</v>
      </c>
      <c r="CV215">
        <f t="shared" si="136"/>
        <v>0</v>
      </c>
      <c r="CW215">
        <f t="shared" si="137"/>
        <v>0</v>
      </c>
      <c r="CX215">
        <f t="shared" si="138"/>
        <v>0</v>
      </c>
      <c r="CY215">
        <f t="shared" si="139"/>
        <v>0</v>
      </c>
      <c r="CZ215">
        <f t="shared" si="140"/>
        <v>0</v>
      </c>
      <c r="DC215" t="s">
        <v>3</v>
      </c>
      <c r="DD215" t="s">
        <v>3</v>
      </c>
      <c r="DE215" t="s">
        <v>3</v>
      </c>
      <c r="DF215" t="s">
        <v>3</v>
      </c>
      <c r="DG215" t="s">
        <v>3</v>
      </c>
      <c r="DH215" t="s">
        <v>3</v>
      </c>
      <c r="DI215" t="s">
        <v>3</v>
      </c>
      <c r="DJ215" t="s">
        <v>3</v>
      </c>
      <c r="DK215" t="s">
        <v>3</v>
      </c>
      <c r="DL215" t="s">
        <v>3</v>
      </c>
      <c r="DM215" t="s">
        <v>3</v>
      </c>
      <c r="DN215">
        <v>0</v>
      </c>
      <c r="DO215">
        <v>0</v>
      </c>
      <c r="DP215">
        <v>1</v>
      </c>
      <c r="DQ215">
        <v>1</v>
      </c>
      <c r="DU215">
        <v>1010</v>
      </c>
      <c r="DV215" t="s">
        <v>198</v>
      </c>
      <c r="DW215" t="s">
        <v>198</v>
      </c>
      <c r="DX215">
        <v>1</v>
      </c>
      <c r="EE215">
        <v>38447819</v>
      </c>
      <c r="EF215">
        <v>1</v>
      </c>
      <c r="EG215" t="s">
        <v>23</v>
      </c>
      <c r="EH215">
        <v>0</v>
      </c>
      <c r="EI215" t="s">
        <v>3</v>
      </c>
      <c r="EJ215">
        <v>4</v>
      </c>
      <c r="EK215">
        <v>0</v>
      </c>
      <c r="EL215" t="s">
        <v>24</v>
      </c>
      <c r="EM215" t="s">
        <v>25</v>
      </c>
      <c r="EO215" t="s">
        <v>3</v>
      </c>
      <c r="EQ215">
        <v>0</v>
      </c>
      <c r="ER215">
        <v>15750</v>
      </c>
      <c r="ES215">
        <v>15750</v>
      </c>
      <c r="ET215">
        <v>0</v>
      </c>
      <c r="EU215">
        <v>0</v>
      </c>
      <c r="EV215">
        <v>0</v>
      </c>
      <c r="EW215">
        <v>0</v>
      </c>
      <c r="EX215">
        <v>0</v>
      </c>
      <c r="EZ215">
        <v>5</v>
      </c>
      <c r="FC215">
        <v>1</v>
      </c>
      <c r="FD215">
        <v>18</v>
      </c>
      <c r="FF215">
        <v>18900</v>
      </c>
      <c r="FQ215">
        <v>0</v>
      </c>
      <c r="FR215">
        <f t="shared" si="141"/>
        <v>0</v>
      </c>
      <c r="FS215">
        <v>0</v>
      </c>
      <c r="FX215">
        <v>70</v>
      </c>
      <c r="FY215">
        <v>10</v>
      </c>
      <c r="GA215" t="s">
        <v>217</v>
      </c>
      <c r="GD215">
        <v>0</v>
      </c>
      <c r="GF215">
        <v>788132825</v>
      </c>
      <c r="GG215">
        <v>2</v>
      </c>
      <c r="GH215">
        <v>3</v>
      </c>
      <c r="GI215">
        <v>-2</v>
      </c>
      <c r="GJ215">
        <v>0</v>
      </c>
      <c r="GK215">
        <f>ROUND(R215*(R12)/100,2)</f>
        <v>0</v>
      </c>
      <c r="GL215">
        <f t="shared" si="142"/>
        <v>0</v>
      </c>
      <c r="GM215">
        <f t="shared" si="143"/>
        <v>15750</v>
      </c>
      <c r="GN215">
        <f t="shared" si="144"/>
        <v>0</v>
      </c>
      <c r="GO215">
        <f t="shared" si="145"/>
        <v>0</v>
      </c>
      <c r="GP215">
        <f t="shared" si="146"/>
        <v>15750</v>
      </c>
      <c r="GR215">
        <v>1</v>
      </c>
      <c r="GS215">
        <v>1</v>
      </c>
      <c r="GT215">
        <v>0</v>
      </c>
      <c r="GU215" t="s">
        <v>3</v>
      </c>
      <c r="GV215">
        <f t="shared" si="147"/>
        <v>0</v>
      </c>
      <c r="GW215">
        <v>1</v>
      </c>
      <c r="GX215">
        <f t="shared" si="148"/>
        <v>0</v>
      </c>
      <c r="HA215">
        <v>0</v>
      </c>
      <c r="HB215">
        <v>0</v>
      </c>
      <c r="HC215">
        <f t="shared" si="149"/>
        <v>0</v>
      </c>
      <c r="HE215" t="s">
        <v>200</v>
      </c>
      <c r="HF215" t="s">
        <v>200</v>
      </c>
      <c r="IK215">
        <v>0</v>
      </c>
    </row>
    <row r="216" spans="1:245" x14ac:dyDescent="0.2">
      <c r="A216">
        <v>18</v>
      </c>
      <c r="B216">
        <v>1</v>
      </c>
      <c r="C216">
        <v>168</v>
      </c>
      <c r="E216" t="s">
        <v>218</v>
      </c>
      <c r="F216" t="s">
        <v>196</v>
      </c>
      <c r="G216" t="s">
        <v>219</v>
      </c>
      <c r="H216" t="s">
        <v>198</v>
      </c>
      <c r="I216">
        <f>I208*J216</f>
        <v>1</v>
      </c>
      <c r="J216">
        <v>0.38461538461538458</v>
      </c>
      <c r="O216">
        <f t="shared" si="110"/>
        <v>23750</v>
      </c>
      <c r="P216">
        <f t="shared" si="111"/>
        <v>23750</v>
      </c>
      <c r="Q216">
        <f t="shared" si="112"/>
        <v>0</v>
      </c>
      <c r="R216">
        <f t="shared" si="113"/>
        <v>0</v>
      </c>
      <c r="S216">
        <f t="shared" si="114"/>
        <v>0</v>
      </c>
      <c r="T216">
        <f t="shared" si="115"/>
        <v>0</v>
      </c>
      <c r="U216">
        <f t="shared" si="116"/>
        <v>0</v>
      </c>
      <c r="V216">
        <f t="shared" si="117"/>
        <v>0</v>
      </c>
      <c r="W216">
        <f t="shared" si="118"/>
        <v>0</v>
      </c>
      <c r="X216">
        <f t="shared" si="119"/>
        <v>0</v>
      </c>
      <c r="Y216">
        <f t="shared" si="120"/>
        <v>0</v>
      </c>
      <c r="AA216">
        <v>38799519</v>
      </c>
      <c r="AB216">
        <f t="shared" si="121"/>
        <v>23750</v>
      </c>
      <c r="AC216">
        <f t="shared" si="122"/>
        <v>23750</v>
      </c>
      <c r="AD216">
        <f t="shared" si="123"/>
        <v>0</v>
      </c>
      <c r="AE216">
        <f t="shared" si="124"/>
        <v>0</v>
      </c>
      <c r="AF216">
        <f t="shared" si="125"/>
        <v>0</v>
      </c>
      <c r="AG216">
        <f t="shared" si="126"/>
        <v>0</v>
      </c>
      <c r="AH216">
        <f t="shared" si="127"/>
        <v>0</v>
      </c>
      <c r="AI216">
        <f t="shared" si="128"/>
        <v>0</v>
      </c>
      <c r="AJ216">
        <f t="shared" si="129"/>
        <v>0</v>
      </c>
      <c r="AK216">
        <v>23750</v>
      </c>
      <c r="AL216">
        <v>23750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70</v>
      </c>
      <c r="AU216">
        <v>10</v>
      </c>
      <c r="AV216">
        <v>1</v>
      </c>
      <c r="AW216">
        <v>1</v>
      </c>
      <c r="AZ216">
        <v>1</v>
      </c>
      <c r="BA216">
        <v>1</v>
      </c>
      <c r="BB216">
        <v>1</v>
      </c>
      <c r="BC216">
        <v>1</v>
      </c>
      <c r="BD216" t="s">
        <v>3</v>
      </c>
      <c r="BE216" t="s">
        <v>3</v>
      </c>
      <c r="BF216" t="s">
        <v>3</v>
      </c>
      <c r="BG216" t="s">
        <v>3</v>
      </c>
      <c r="BH216">
        <v>3</v>
      </c>
      <c r="BI216">
        <v>4</v>
      </c>
      <c r="BJ216" t="s">
        <v>3</v>
      </c>
      <c r="BM216">
        <v>0</v>
      </c>
      <c r="BN216">
        <v>0</v>
      </c>
      <c r="BO216" t="s">
        <v>3</v>
      </c>
      <c r="BP216">
        <v>0</v>
      </c>
      <c r="BQ216">
        <v>1</v>
      </c>
      <c r="BR216">
        <v>0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 t="s">
        <v>3</v>
      </c>
      <c r="BZ216">
        <v>70</v>
      </c>
      <c r="CA216">
        <v>10</v>
      </c>
      <c r="CE216">
        <v>0</v>
      </c>
      <c r="CF216">
        <v>0</v>
      </c>
      <c r="CG216">
        <v>0</v>
      </c>
      <c r="CM216">
        <v>0</v>
      </c>
      <c r="CN216" t="s">
        <v>3</v>
      </c>
      <c r="CO216">
        <v>0</v>
      </c>
      <c r="CP216">
        <f t="shared" si="130"/>
        <v>23750</v>
      </c>
      <c r="CQ216">
        <f t="shared" si="131"/>
        <v>23750</v>
      </c>
      <c r="CR216">
        <f t="shared" si="132"/>
        <v>0</v>
      </c>
      <c r="CS216">
        <f t="shared" si="133"/>
        <v>0</v>
      </c>
      <c r="CT216">
        <f t="shared" si="134"/>
        <v>0</v>
      </c>
      <c r="CU216">
        <f t="shared" si="135"/>
        <v>0</v>
      </c>
      <c r="CV216">
        <f t="shared" si="136"/>
        <v>0</v>
      </c>
      <c r="CW216">
        <f t="shared" si="137"/>
        <v>0</v>
      </c>
      <c r="CX216">
        <f t="shared" si="138"/>
        <v>0</v>
      </c>
      <c r="CY216">
        <f t="shared" si="139"/>
        <v>0</v>
      </c>
      <c r="CZ216">
        <f t="shared" si="140"/>
        <v>0</v>
      </c>
      <c r="DC216" t="s">
        <v>3</v>
      </c>
      <c r="DD216" t="s">
        <v>3</v>
      </c>
      <c r="DE216" t="s">
        <v>3</v>
      </c>
      <c r="DF216" t="s">
        <v>3</v>
      </c>
      <c r="DG216" t="s">
        <v>3</v>
      </c>
      <c r="DH216" t="s">
        <v>3</v>
      </c>
      <c r="DI216" t="s">
        <v>3</v>
      </c>
      <c r="DJ216" t="s">
        <v>3</v>
      </c>
      <c r="DK216" t="s">
        <v>3</v>
      </c>
      <c r="DL216" t="s">
        <v>3</v>
      </c>
      <c r="DM216" t="s">
        <v>3</v>
      </c>
      <c r="DN216">
        <v>0</v>
      </c>
      <c r="DO216">
        <v>0</v>
      </c>
      <c r="DP216">
        <v>1</v>
      </c>
      <c r="DQ216">
        <v>1</v>
      </c>
      <c r="DU216">
        <v>1010</v>
      </c>
      <c r="DV216" t="s">
        <v>198</v>
      </c>
      <c r="DW216" t="s">
        <v>198</v>
      </c>
      <c r="DX216">
        <v>1</v>
      </c>
      <c r="EE216">
        <v>38447819</v>
      </c>
      <c r="EF216">
        <v>1</v>
      </c>
      <c r="EG216" t="s">
        <v>23</v>
      </c>
      <c r="EH216">
        <v>0</v>
      </c>
      <c r="EI216" t="s">
        <v>3</v>
      </c>
      <c r="EJ216">
        <v>4</v>
      </c>
      <c r="EK216">
        <v>0</v>
      </c>
      <c r="EL216" t="s">
        <v>24</v>
      </c>
      <c r="EM216" t="s">
        <v>25</v>
      </c>
      <c r="EO216" t="s">
        <v>3</v>
      </c>
      <c r="EQ216">
        <v>0</v>
      </c>
      <c r="ER216">
        <v>23750</v>
      </c>
      <c r="ES216">
        <v>23750</v>
      </c>
      <c r="ET216">
        <v>0</v>
      </c>
      <c r="EU216">
        <v>0</v>
      </c>
      <c r="EV216">
        <v>0</v>
      </c>
      <c r="EW216">
        <v>0</v>
      </c>
      <c r="EX216">
        <v>0</v>
      </c>
      <c r="EZ216">
        <v>5</v>
      </c>
      <c r="FC216">
        <v>1</v>
      </c>
      <c r="FD216">
        <v>18</v>
      </c>
      <c r="FF216">
        <v>28500</v>
      </c>
      <c r="FQ216">
        <v>0</v>
      </c>
      <c r="FR216">
        <f t="shared" si="141"/>
        <v>0</v>
      </c>
      <c r="FS216">
        <v>0</v>
      </c>
      <c r="FX216">
        <v>70</v>
      </c>
      <c r="FY216">
        <v>10</v>
      </c>
      <c r="GA216" t="s">
        <v>220</v>
      </c>
      <c r="GD216">
        <v>0</v>
      </c>
      <c r="GF216">
        <v>382300892</v>
      </c>
      <c r="GG216">
        <v>2</v>
      </c>
      <c r="GH216">
        <v>3</v>
      </c>
      <c r="GI216">
        <v>-2</v>
      </c>
      <c r="GJ216">
        <v>0</v>
      </c>
      <c r="GK216">
        <f>ROUND(R216*(R12)/100,2)</f>
        <v>0</v>
      </c>
      <c r="GL216">
        <f t="shared" si="142"/>
        <v>0</v>
      </c>
      <c r="GM216">
        <f t="shared" si="143"/>
        <v>23750</v>
      </c>
      <c r="GN216">
        <f t="shared" si="144"/>
        <v>0</v>
      </c>
      <c r="GO216">
        <f t="shared" si="145"/>
        <v>0</v>
      </c>
      <c r="GP216">
        <f t="shared" si="146"/>
        <v>23750</v>
      </c>
      <c r="GR216">
        <v>1</v>
      </c>
      <c r="GS216">
        <v>1</v>
      </c>
      <c r="GT216">
        <v>0</v>
      </c>
      <c r="GU216" t="s">
        <v>3</v>
      </c>
      <c r="GV216">
        <f t="shared" si="147"/>
        <v>0</v>
      </c>
      <c r="GW216">
        <v>1</v>
      </c>
      <c r="GX216">
        <f t="shared" si="148"/>
        <v>0</v>
      </c>
      <c r="HA216">
        <v>0</v>
      </c>
      <c r="HB216">
        <v>0</v>
      </c>
      <c r="HC216">
        <f t="shared" si="149"/>
        <v>0</v>
      </c>
      <c r="HE216" t="s">
        <v>200</v>
      </c>
      <c r="HF216" t="s">
        <v>200</v>
      </c>
      <c r="IK216">
        <v>0</v>
      </c>
    </row>
    <row r="217" spans="1:245" x14ac:dyDescent="0.2">
      <c r="A217">
        <v>18</v>
      </c>
      <c r="B217">
        <v>1</v>
      </c>
      <c r="C217">
        <v>169</v>
      </c>
      <c r="E217" t="s">
        <v>221</v>
      </c>
      <c r="F217" t="s">
        <v>196</v>
      </c>
      <c r="G217" t="s">
        <v>222</v>
      </c>
      <c r="H217" t="s">
        <v>198</v>
      </c>
      <c r="I217">
        <f>I208*J217</f>
        <v>1</v>
      </c>
      <c r="J217">
        <v>0.38461538461538458</v>
      </c>
      <c r="O217">
        <f t="shared" si="110"/>
        <v>10375</v>
      </c>
      <c r="P217">
        <f t="shared" si="111"/>
        <v>10375</v>
      </c>
      <c r="Q217">
        <f t="shared" si="112"/>
        <v>0</v>
      </c>
      <c r="R217">
        <f t="shared" si="113"/>
        <v>0</v>
      </c>
      <c r="S217">
        <f t="shared" si="114"/>
        <v>0</v>
      </c>
      <c r="T217">
        <f t="shared" si="115"/>
        <v>0</v>
      </c>
      <c r="U217">
        <f t="shared" si="116"/>
        <v>0</v>
      </c>
      <c r="V217">
        <f t="shared" si="117"/>
        <v>0</v>
      </c>
      <c r="W217">
        <f t="shared" si="118"/>
        <v>0</v>
      </c>
      <c r="X217">
        <f t="shared" si="119"/>
        <v>0</v>
      </c>
      <c r="Y217">
        <f t="shared" si="120"/>
        <v>0</v>
      </c>
      <c r="AA217">
        <v>38799519</v>
      </c>
      <c r="AB217">
        <f t="shared" si="121"/>
        <v>10375</v>
      </c>
      <c r="AC217">
        <f t="shared" si="122"/>
        <v>10375</v>
      </c>
      <c r="AD217">
        <f t="shared" si="123"/>
        <v>0</v>
      </c>
      <c r="AE217">
        <f t="shared" si="124"/>
        <v>0</v>
      </c>
      <c r="AF217">
        <f t="shared" si="125"/>
        <v>0</v>
      </c>
      <c r="AG217">
        <f t="shared" si="126"/>
        <v>0</v>
      </c>
      <c r="AH217">
        <f t="shared" si="127"/>
        <v>0</v>
      </c>
      <c r="AI217">
        <f t="shared" si="128"/>
        <v>0</v>
      </c>
      <c r="AJ217">
        <f t="shared" si="129"/>
        <v>0</v>
      </c>
      <c r="AK217">
        <v>10375</v>
      </c>
      <c r="AL217">
        <v>10375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70</v>
      </c>
      <c r="AU217">
        <v>10</v>
      </c>
      <c r="AV217">
        <v>1</v>
      </c>
      <c r="AW217">
        <v>1</v>
      </c>
      <c r="AZ217">
        <v>1</v>
      </c>
      <c r="BA217">
        <v>1</v>
      </c>
      <c r="BB217">
        <v>1</v>
      </c>
      <c r="BC217">
        <v>1</v>
      </c>
      <c r="BD217" t="s">
        <v>3</v>
      </c>
      <c r="BE217" t="s">
        <v>3</v>
      </c>
      <c r="BF217" t="s">
        <v>3</v>
      </c>
      <c r="BG217" t="s">
        <v>3</v>
      </c>
      <c r="BH217">
        <v>3</v>
      </c>
      <c r="BI217">
        <v>4</v>
      </c>
      <c r="BJ217" t="s">
        <v>3</v>
      </c>
      <c r="BM217">
        <v>0</v>
      </c>
      <c r="BN217">
        <v>0</v>
      </c>
      <c r="BO217" t="s">
        <v>3</v>
      </c>
      <c r="BP217">
        <v>0</v>
      </c>
      <c r="BQ217">
        <v>1</v>
      </c>
      <c r="BR217">
        <v>0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 t="s">
        <v>3</v>
      </c>
      <c r="BZ217">
        <v>70</v>
      </c>
      <c r="CA217">
        <v>10</v>
      </c>
      <c r="CE217">
        <v>0</v>
      </c>
      <c r="CF217">
        <v>0</v>
      </c>
      <c r="CG217">
        <v>0</v>
      </c>
      <c r="CM217">
        <v>0</v>
      </c>
      <c r="CN217" t="s">
        <v>3</v>
      </c>
      <c r="CO217">
        <v>0</v>
      </c>
      <c r="CP217">
        <f t="shared" si="130"/>
        <v>10375</v>
      </c>
      <c r="CQ217">
        <f t="shared" si="131"/>
        <v>10375</v>
      </c>
      <c r="CR217">
        <f t="shared" si="132"/>
        <v>0</v>
      </c>
      <c r="CS217">
        <f t="shared" si="133"/>
        <v>0</v>
      </c>
      <c r="CT217">
        <f t="shared" si="134"/>
        <v>0</v>
      </c>
      <c r="CU217">
        <f t="shared" si="135"/>
        <v>0</v>
      </c>
      <c r="CV217">
        <f t="shared" si="136"/>
        <v>0</v>
      </c>
      <c r="CW217">
        <f t="shared" si="137"/>
        <v>0</v>
      </c>
      <c r="CX217">
        <f t="shared" si="138"/>
        <v>0</v>
      </c>
      <c r="CY217">
        <f t="shared" si="139"/>
        <v>0</v>
      </c>
      <c r="CZ217">
        <f t="shared" si="140"/>
        <v>0</v>
      </c>
      <c r="DC217" t="s">
        <v>3</v>
      </c>
      <c r="DD217" t="s">
        <v>3</v>
      </c>
      <c r="DE217" t="s">
        <v>3</v>
      </c>
      <c r="DF217" t="s">
        <v>3</v>
      </c>
      <c r="DG217" t="s">
        <v>3</v>
      </c>
      <c r="DH217" t="s">
        <v>3</v>
      </c>
      <c r="DI217" t="s">
        <v>3</v>
      </c>
      <c r="DJ217" t="s">
        <v>3</v>
      </c>
      <c r="DK217" t="s">
        <v>3</v>
      </c>
      <c r="DL217" t="s">
        <v>3</v>
      </c>
      <c r="DM217" t="s">
        <v>3</v>
      </c>
      <c r="DN217">
        <v>0</v>
      </c>
      <c r="DO217">
        <v>0</v>
      </c>
      <c r="DP217">
        <v>1</v>
      </c>
      <c r="DQ217">
        <v>1</v>
      </c>
      <c r="DU217">
        <v>1010</v>
      </c>
      <c r="DV217" t="s">
        <v>198</v>
      </c>
      <c r="DW217" t="s">
        <v>198</v>
      </c>
      <c r="DX217">
        <v>1</v>
      </c>
      <c r="EE217">
        <v>38447819</v>
      </c>
      <c r="EF217">
        <v>1</v>
      </c>
      <c r="EG217" t="s">
        <v>23</v>
      </c>
      <c r="EH217">
        <v>0</v>
      </c>
      <c r="EI217" t="s">
        <v>3</v>
      </c>
      <c r="EJ217">
        <v>4</v>
      </c>
      <c r="EK217">
        <v>0</v>
      </c>
      <c r="EL217" t="s">
        <v>24</v>
      </c>
      <c r="EM217" t="s">
        <v>25</v>
      </c>
      <c r="EO217" t="s">
        <v>3</v>
      </c>
      <c r="EQ217">
        <v>0</v>
      </c>
      <c r="ER217">
        <v>10375</v>
      </c>
      <c r="ES217">
        <v>10375</v>
      </c>
      <c r="ET217">
        <v>0</v>
      </c>
      <c r="EU217">
        <v>0</v>
      </c>
      <c r="EV217">
        <v>0</v>
      </c>
      <c r="EW217">
        <v>0</v>
      </c>
      <c r="EX217">
        <v>0</v>
      </c>
      <c r="EZ217">
        <v>5</v>
      </c>
      <c r="FC217">
        <v>1</v>
      </c>
      <c r="FD217">
        <v>18</v>
      </c>
      <c r="FF217">
        <v>12450</v>
      </c>
      <c r="FQ217">
        <v>0</v>
      </c>
      <c r="FR217">
        <f t="shared" si="141"/>
        <v>0</v>
      </c>
      <c r="FS217">
        <v>0</v>
      </c>
      <c r="FX217">
        <v>70</v>
      </c>
      <c r="FY217">
        <v>10</v>
      </c>
      <c r="GA217" t="s">
        <v>223</v>
      </c>
      <c r="GD217">
        <v>0</v>
      </c>
      <c r="GF217">
        <v>324752368</v>
      </c>
      <c r="GG217">
        <v>2</v>
      </c>
      <c r="GH217">
        <v>3</v>
      </c>
      <c r="GI217">
        <v>-2</v>
      </c>
      <c r="GJ217">
        <v>0</v>
      </c>
      <c r="GK217">
        <f>ROUND(R217*(R12)/100,2)</f>
        <v>0</v>
      </c>
      <c r="GL217">
        <f t="shared" si="142"/>
        <v>0</v>
      </c>
      <c r="GM217">
        <f t="shared" si="143"/>
        <v>10375</v>
      </c>
      <c r="GN217">
        <f t="shared" si="144"/>
        <v>0</v>
      </c>
      <c r="GO217">
        <f t="shared" si="145"/>
        <v>0</v>
      </c>
      <c r="GP217">
        <f t="shared" si="146"/>
        <v>10375</v>
      </c>
      <c r="GR217">
        <v>1</v>
      </c>
      <c r="GS217">
        <v>1</v>
      </c>
      <c r="GT217">
        <v>0</v>
      </c>
      <c r="GU217" t="s">
        <v>3</v>
      </c>
      <c r="GV217">
        <f t="shared" si="147"/>
        <v>0</v>
      </c>
      <c r="GW217">
        <v>1</v>
      </c>
      <c r="GX217">
        <f t="shared" si="148"/>
        <v>0</v>
      </c>
      <c r="HA217">
        <v>0</v>
      </c>
      <c r="HB217">
        <v>0</v>
      </c>
      <c r="HC217">
        <f t="shared" si="149"/>
        <v>0</v>
      </c>
      <c r="HE217" t="s">
        <v>200</v>
      </c>
      <c r="HF217" t="s">
        <v>200</v>
      </c>
      <c r="IK217">
        <v>0</v>
      </c>
    </row>
    <row r="218" spans="1:245" x14ac:dyDescent="0.2">
      <c r="A218">
        <v>18</v>
      </c>
      <c r="B218">
        <v>1</v>
      </c>
      <c r="C218">
        <v>170</v>
      </c>
      <c r="E218" t="s">
        <v>224</v>
      </c>
      <c r="F218" t="s">
        <v>196</v>
      </c>
      <c r="G218" t="s">
        <v>225</v>
      </c>
      <c r="H218" t="s">
        <v>198</v>
      </c>
      <c r="I218">
        <f>I208*J218</f>
        <v>1</v>
      </c>
      <c r="J218">
        <v>0.38461538461538458</v>
      </c>
      <c r="O218">
        <f t="shared" si="110"/>
        <v>10375</v>
      </c>
      <c r="P218">
        <f t="shared" si="111"/>
        <v>10375</v>
      </c>
      <c r="Q218">
        <f t="shared" si="112"/>
        <v>0</v>
      </c>
      <c r="R218">
        <f t="shared" si="113"/>
        <v>0</v>
      </c>
      <c r="S218">
        <f t="shared" si="114"/>
        <v>0</v>
      </c>
      <c r="T218">
        <f t="shared" si="115"/>
        <v>0</v>
      </c>
      <c r="U218">
        <f t="shared" si="116"/>
        <v>0</v>
      </c>
      <c r="V218">
        <f t="shared" si="117"/>
        <v>0</v>
      </c>
      <c r="W218">
        <f t="shared" si="118"/>
        <v>0</v>
      </c>
      <c r="X218">
        <f t="shared" si="119"/>
        <v>0</v>
      </c>
      <c r="Y218">
        <f t="shared" si="120"/>
        <v>0</v>
      </c>
      <c r="AA218">
        <v>38799519</v>
      </c>
      <c r="AB218">
        <f t="shared" si="121"/>
        <v>10375</v>
      </c>
      <c r="AC218">
        <f t="shared" si="122"/>
        <v>10375</v>
      </c>
      <c r="AD218">
        <f t="shared" si="123"/>
        <v>0</v>
      </c>
      <c r="AE218">
        <f t="shared" si="124"/>
        <v>0</v>
      </c>
      <c r="AF218">
        <f t="shared" si="125"/>
        <v>0</v>
      </c>
      <c r="AG218">
        <f t="shared" si="126"/>
        <v>0</v>
      </c>
      <c r="AH218">
        <f t="shared" si="127"/>
        <v>0</v>
      </c>
      <c r="AI218">
        <f t="shared" si="128"/>
        <v>0</v>
      </c>
      <c r="AJ218">
        <f t="shared" si="129"/>
        <v>0</v>
      </c>
      <c r="AK218">
        <v>10375</v>
      </c>
      <c r="AL218">
        <v>10375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70</v>
      </c>
      <c r="AU218">
        <v>10</v>
      </c>
      <c r="AV218">
        <v>1</v>
      </c>
      <c r="AW218">
        <v>1</v>
      </c>
      <c r="AZ218">
        <v>1</v>
      </c>
      <c r="BA218">
        <v>1</v>
      </c>
      <c r="BB218">
        <v>1</v>
      </c>
      <c r="BC218">
        <v>1</v>
      </c>
      <c r="BD218" t="s">
        <v>3</v>
      </c>
      <c r="BE218" t="s">
        <v>3</v>
      </c>
      <c r="BF218" t="s">
        <v>3</v>
      </c>
      <c r="BG218" t="s">
        <v>3</v>
      </c>
      <c r="BH218">
        <v>3</v>
      </c>
      <c r="BI218">
        <v>4</v>
      </c>
      <c r="BJ218" t="s">
        <v>3</v>
      </c>
      <c r="BM218">
        <v>0</v>
      </c>
      <c r="BN218">
        <v>0</v>
      </c>
      <c r="BO218" t="s">
        <v>3</v>
      </c>
      <c r="BP218">
        <v>0</v>
      </c>
      <c r="BQ218">
        <v>1</v>
      </c>
      <c r="BR218">
        <v>0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 t="s">
        <v>3</v>
      </c>
      <c r="BZ218">
        <v>70</v>
      </c>
      <c r="CA218">
        <v>10</v>
      </c>
      <c r="CE218">
        <v>0</v>
      </c>
      <c r="CF218">
        <v>0</v>
      </c>
      <c r="CG218">
        <v>0</v>
      </c>
      <c r="CM218">
        <v>0</v>
      </c>
      <c r="CN218" t="s">
        <v>3</v>
      </c>
      <c r="CO218">
        <v>0</v>
      </c>
      <c r="CP218">
        <f t="shared" si="130"/>
        <v>10375</v>
      </c>
      <c r="CQ218">
        <f t="shared" si="131"/>
        <v>10375</v>
      </c>
      <c r="CR218">
        <f t="shared" si="132"/>
        <v>0</v>
      </c>
      <c r="CS218">
        <f t="shared" si="133"/>
        <v>0</v>
      </c>
      <c r="CT218">
        <f t="shared" si="134"/>
        <v>0</v>
      </c>
      <c r="CU218">
        <f t="shared" si="135"/>
        <v>0</v>
      </c>
      <c r="CV218">
        <f t="shared" si="136"/>
        <v>0</v>
      </c>
      <c r="CW218">
        <f t="shared" si="137"/>
        <v>0</v>
      </c>
      <c r="CX218">
        <f t="shared" si="138"/>
        <v>0</v>
      </c>
      <c r="CY218">
        <f t="shared" si="139"/>
        <v>0</v>
      </c>
      <c r="CZ218">
        <f t="shared" si="140"/>
        <v>0</v>
      </c>
      <c r="DC218" t="s">
        <v>3</v>
      </c>
      <c r="DD218" t="s">
        <v>3</v>
      </c>
      <c r="DE218" t="s">
        <v>3</v>
      </c>
      <c r="DF218" t="s">
        <v>3</v>
      </c>
      <c r="DG218" t="s">
        <v>3</v>
      </c>
      <c r="DH218" t="s">
        <v>3</v>
      </c>
      <c r="DI218" t="s">
        <v>3</v>
      </c>
      <c r="DJ218" t="s">
        <v>3</v>
      </c>
      <c r="DK218" t="s">
        <v>3</v>
      </c>
      <c r="DL218" t="s">
        <v>3</v>
      </c>
      <c r="DM218" t="s">
        <v>3</v>
      </c>
      <c r="DN218">
        <v>0</v>
      </c>
      <c r="DO218">
        <v>0</v>
      </c>
      <c r="DP218">
        <v>1</v>
      </c>
      <c r="DQ218">
        <v>1</v>
      </c>
      <c r="DU218">
        <v>1010</v>
      </c>
      <c r="DV218" t="s">
        <v>198</v>
      </c>
      <c r="DW218" t="s">
        <v>198</v>
      </c>
      <c r="DX218">
        <v>1</v>
      </c>
      <c r="EE218">
        <v>38447819</v>
      </c>
      <c r="EF218">
        <v>1</v>
      </c>
      <c r="EG218" t="s">
        <v>23</v>
      </c>
      <c r="EH218">
        <v>0</v>
      </c>
      <c r="EI218" t="s">
        <v>3</v>
      </c>
      <c r="EJ218">
        <v>4</v>
      </c>
      <c r="EK218">
        <v>0</v>
      </c>
      <c r="EL218" t="s">
        <v>24</v>
      </c>
      <c r="EM218" t="s">
        <v>25</v>
      </c>
      <c r="EO218" t="s">
        <v>3</v>
      </c>
      <c r="EQ218">
        <v>0</v>
      </c>
      <c r="ER218">
        <v>10375</v>
      </c>
      <c r="ES218">
        <v>10375</v>
      </c>
      <c r="ET218">
        <v>0</v>
      </c>
      <c r="EU218">
        <v>0</v>
      </c>
      <c r="EV218">
        <v>0</v>
      </c>
      <c r="EW218">
        <v>0</v>
      </c>
      <c r="EX218">
        <v>0</v>
      </c>
      <c r="EZ218">
        <v>5</v>
      </c>
      <c r="FC218">
        <v>1</v>
      </c>
      <c r="FD218">
        <v>18</v>
      </c>
      <c r="FF218">
        <v>12450</v>
      </c>
      <c r="FQ218">
        <v>0</v>
      </c>
      <c r="FR218">
        <f t="shared" si="141"/>
        <v>0</v>
      </c>
      <c r="FS218">
        <v>0</v>
      </c>
      <c r="FX218">
        <v>70</v>
      </c>
      <c r="FY218">
        <v>10</v>
      </c>
      <c r="GA218" t="s">
        <v>223</v>
      </c>
      <c r="GD218">
        <v>0</v>
      </c>
      <c r="GF218">
        <v>-2034876485</v>
      </c>
      <c r="GG218">
        <v>2</v>
      </c>
      <c r="GH218">
        <v>3</v>
      </c>
      <c r="GI218">
        <v>-2</v>
      </c>
      <c r="GJ218">
        <v>0</v>
      </c>
      <c r="GK218">
        <f>ROUND(R218*(R12)/100,2)</f>
        <v>0</v>
      </c>
      <c r="GL218">
        <f t="shared" si="142"/>
        <v>0</v>
      </c>
      <c r="GM218">
        <f t="shared" si="143"/>
        <v>10375</v>
      </c>
      <c r="GN218">
        <f t="shared" si="144"/>
        <v>0</v>
      </c>
      <c r="GO218">
        <f t="shared" si="145"/>
        <v>0</v>
      </c>
      <c r="GP218">
        <f t="shared" si="146"/>
        <v>10375</v>
      </c>
      <c r="GR218">
        <v>1</v>
      </c>
      <c r="GS218">
        <v>1</v>
      </c>
      <c r="GT218">
        <v>0</v>
      </c>
      <c r="GU218" t="s">
        <v>3</v>
      </c>
      <c r="GV218">
        <f t="shared" si="147"/>
        <v>0</v>
      </c>
      <c r="GW218">
        <v>1</v>
      </c>
      <c r="GX218">
        <f t="shared" si="148"/>
        <v>0</v>
      </c>
      <c r="HA218">
        <v>0</v>
      </c>
      <c r="HB218">
        <v>0</v>
      </c>
      <c r="HC218">
        <f t="shared" si="149"/>
        <v>0</v>
      </c>
      <c r="HE218" t="s">
        <v>200</v>
      </c>
      <c r="HF218" t="s">
        <v>200</v>
      </c>
      <c r="IK218">
        <v>0</v>
      </c>
    </row>
    <row r="219" spans="1:245" x14ac:dyDescent="0.2">
      <c r="A219">
        <v>18</v>
      </c>
      <c r="B219">
        <v>1</v>
      </c>
      <c r="C219">
        <v>171</v>
      </c>
      <c r="E219" t="s">
        <v>226</v>
      </c>
      <c r="F219" t="s">
        <v>196</v>
      </c>
      <c r="G219" t="s">
        <v>227</v>
      </c>
      <c r="H219" t="s">
        <v>198</v>
      </c>
      <c r="I219">
        <f>I208*J219</f>
        <v>1</v>
      </c>
      <c r="J219">
        <v>0.38461538461538458</v>
      </c>
      <c r="O219">
        <f t="shared" si="110"/>
        <v>6208.33</v>
      </c>
      <c r="P219">
        <f t="shared" si="111"/>
        <v>6208.33</v>
      </c>
      <c r="Q219">
        <f t="shared" si="112"/>
        <v>0</v>
      </c>
      <c r="R219">
        <f t="shared" si="113"/>
        <v>0</v>
      </c>
      <c r="S219">
        <f t="shared" si="114"/>
        <v>0</v>
      </c>
      <c r="T219">
        <f t="shared" si="115"/>
        <v>0</v>
      </c>
      <c r="U219">
        <f t="shared" si="116"/>
        <v>0</v>
      </c>
      <c r="V219">
        <f t="shared" si="117"/>
        <v>0</v>
      </c>
      <c r="W219">
        <f t="shared" si="118"/>
        <v>0</v>
      </c>
      <c r="X219">
        <f t="shared" si="119"/>
        <v>0</v>
      </c>
      <c r="Y219">
        <f t="shared" si="120"/>
        <v>0</v>
      </c>
      <c r="AA219">
        <v>38799519</v>
      </c>
      <c r="AB219">
        <f t="shared" si="121"/>
        <v>6208.33</v>
      </c>
      <c r="AC219">
        <f t="shared" si="122"/>
        <v>6208.33</v>
      </c>
      <c r="AD219">
        <f t="shared" si="123"/>
        <v>0</v>
      </c>
      <c r="AE219">
        <f t="shared" si="124"/>
        <v>0</v>
      </c>
      <c r="AF219">
        <f t="shared" si="125"/>
        <v>0</v>
      </c>
      <c r="AG219">
        <f t="shared" si="126"/>
        <v>0</v>
      </c>
      <c r="AH219">
        <f t="shared" si="127"/>
        <v>0</v>
      </c>
      <c r="AI219">
        <f t="shared" si="128"/>
        <v>0</v>
      </c>
      <c r="AJ219">
        <f t="shared" si="129"/>
        <v>0</v>
      </c>
      <c r="AK219">
        <v>6208.33</v>
      </c>
      <c r="AL219">
        <v>6208.33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70</v>
      </c>
      <c r="AU219">
        <v>10</v>
      </c>
      <c r="AV219">
        <v>1</v>
      </c>
      <c r="AW219">
        <v>1</v>
      </c>
      <c r="AZ219">
        <v>1</v>
      </c>
      <c r="BA219">
        <v>1</v>
      </c>
      <c r="BB219">
        <v>1</v>
      </c>
      <c r="BC219">
        <v>1</v>
      </c>
      <c r="BD219" t="s">
        <v>3</v>
      </c>
      <c r="BE219" t="s">
        <v>3</v>
      </c>
      <c r="BF219" t="s">
        <v>3</v>
      </c>
      <c r="BG219" t="s">
        <v>3</v>
      </c>
      <c r="BH219">
        <v>3</v>
      </c>
      <c r="BI219">
        <v>4</v>
      </c>
      <c r="BJ219" t="s">
        <v>3</v>
      </c>
      <c r="BM219">
        <v>0</v>
      </c>
      <c r="BN219">
        <v>0</v>
      </c>
      <c r="BO219" t="s">
        <v>3</v>
      </c>
      <c r="BP219">
        <v>0</v>
      </c>
      <c r="BQ219">
        <v>1</v>
      </c>
      <c r="BR219">
        <v>0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 t="s">
        <v>3</v>
      </c>
      <c r="BZ219">
        <v>70</v>
      </c>
      <c r="CA219">
        <v>10</v>
      </c>
      <c r="CE219">
        <v>0</v>
      </c>
      <c r="CF219">
        <v>0</v>
      </c>
      <c r="CG219">
        <v>0</v>
      </c>
      <c r="CM219">
        <v>0</v>
      </c>
      <c r="CN219" t="s">
        <v>3</v>
      </c>
      <c r="CO219">
        <v>0</v>
      </c>
      <c r="CP219">
        <f t="shared" si="130"/>
        <v>6208.33</v>
      </c>
      <c r="CQ219">
        <f t="shared" si="131"/>
        <v>6208.33</v>
      </c>
      <c r="CR219">
        <f t="shared" si="132"/>
        <v>0</v>
      </c>
      <c r="CS219">
        <f t="shared" si="133"/>
        <v>0</v>
      </c>
      <c r="CT219">
        <f t="shared" si="134"/>
        <v>0</v>
      </c>
      <c r="CU219">
        <f t="shared" si="135"/>
        <v>0</v>
      </c>
      <c r="CV219">
        <f t="shared" si="136"/>
        <v>0</v>
      </c>
      <c r="CW219">
        <f t="shared" si="137"/>
        <v>0</v>
      </c>
      <c r="CX219">
        <f t="shared" si="138"/>
        <v>0</v>
      </c>
      <c r="CY219">
        <f t="shared" si="139"/>
        <v>0</v>
      </c>
      <c r="CZ219">
        <f t="shared" si="140"/>
        <v>0</v>
      </c>
      <c r="DC219" t="s">
        <v>3</v>
      </c>
      <c r="DD219" t="s">
        <v>3</v>
      </c>
      <c r="DE219" t="s">
        <v>3</v>
      </c>
      <c r="DF219" t="s">
        <v>3</v>
      </c>
      <c r="DG219" t="s">
        <v>3</v>
      </c>
      <c r="DH219" t="s">
        <v>3</v>
      </c>
      <c r="DI219" t="s">
        <v>3</v>
      </c>
      <c r="DJ219" t="s">
        <v>3</v>
      </c>
      <c r="DK219" t="s">
        <v>3</v>
      </c>
      <c r="DL219" t="s">
        <v>3</v>
      </c>
      <c r="DM219" t="s">
        <v>3</v>
      </c>
      <c r="DN219">
        <v>0</v>
      </c>
      <c r="DO219">
        <v>0</v>
      </c>
      <c r="DP219">
        <v>1</v>
      </c>
      <c r="DQ219">
        <v>1</v>
      </c>
      <c r="DU219">
        <v>1010</v>
      </c>
      <c r="DV219" t="s">
        <v>198</v>
      </c>
      <c r="DW219" t="s">
        <v>198</v>
      </c>
      <c r="DX219">
        <v>1</v>
      </c>
      <c r="EE219">
        <v>38447819</v>
      </c>
      <c r="EF219">
        <v>1</v>
      </c>
      <c r="EG219" t="s">
        <v>23</v>
      </c>
      <c r="EH219">
        <v>0</v>
      </c>
      <c r="EI219" t="s">
        <v>3</v>
      </c>
      <c r="EJ219">
        <v>4</v>
      </c>
      <c r="EK219">
        <v>0</v>
      </c>
      <c r="EL219" t="s">
        <v>24</v>
      </c>
      <c r="EM219" t="s">
        <v>25</v>
      </c>
      <c r="EO219" t="s">
        <v>3</v>
      </c>
      <c r="EQ219">
        <v>0</v>
      </c>
      <c r="ER219">
        <v>6208.33</v>
      </c>
      <c r="ES219">
        <v>6208.33</v>
      </c>
      <c r="ET219">
        <v>0</v>
      </c>
      <c r="EU219">
        <v>0</v>
      </c>
      <c r="EV219">
        <v>0</v>
      </c>
      <c r="EW219">
        <v>0</v>
      </c>
      <c r="EX219">
        <v>0</v>
      </c>
      <c r="EZ219">
        <v>5</v>
      </c>
      <c r="FC219">
        <v>1</v>
      </c>
      <c r="FD219">
        <v>18</v>
      </c>
      <c r="FF219">
        <v>7450</v>
      </c>
      <c r="FQ219">
        <v>0</v>
      </c>
      <c r="FR219">
        <f t="shared" si="141"/>
        <v>0</v>
      </c>
      <c r="FS219">
        <v>0</v>
      </c>
      <c r="FX219">
        <v>70</v>
      </c>
      <c r="FY219">
        <v>10</v>
      </c>
      <c r="GA219" t="s">
        <v>228</v>
      </c>
      <c r="GD219">
        <v>0</v>
      </c>
      <c r="GF219">
        <v>-468958534</v>
      </c>
      <c r="GG219">
        <v>2</v>
      </c>
      <c r="GH219">
        <v>3</v>
      </c>
      <c r="GI219">
        <v>-2</v>
      </c>
      <c r="GJ219">
        <v>0</v>
      </c>
      <c r="GK219">
        <f>ROUND(R219*(R12)/100,2)</f>
        <v>0</v>
      </c>
      <c r="GL219">
        <f t="shared" si="142"/>
        <v>0</v>
      </c>
      <c r="GM219">
        <f t="shared" si="143"/>
        <v>6208.33</v>
      </c>
      <c r="GN219">
        <f t="shared" si="144"/>
        <v>0</v>
      </c>
      <c r="GO219">
        <f t="shared" si="145"/>
        <v>0</v>
      </c>
      <c r="GP219">
        <f t="shared" si="146"/>
        <v>6208.33</v>
      </c>
      <c r="GR219">
        <v>1</v>
      </c>
      <c r="GS219">
        <v>1</v>
      </c>
      <c r="GT219">
        <v>0</v>
      </c>
      <c r="GU219" t="s">
        <v>3</v>
      </c>
      <c r="GV219">
        <f t="shared" si="147"/>
        <v>0</v>
      </c>
      <c r="GW219">
        <v>1</v>
      </c>
      <c r="GX219">
        <f t="shared" si="148"/>
        <v>0</v>
      </c>
      <c r="HA219">
        <v>0</v>
      </c>
      <c r="HB219">
        <v>0</v>
      </c>
      <c r="HC219">
        <f t="shared" si="149"/>
        <v>0</v>
      </c>
      <c r="HE219" t="s">
        <v>200</v>
      </c>
      <c r="HF219" t="s">
        <v>200</v>
      </c>
      <c r="IK219">
        <v>0</v>
      </c>
    </row>
    <row r="220" spans="1:245" x14ac:dyDescent="0.2">
      <c r="A220">
        <v>18</v>
      </c>
      <c r="B220">
        <v>1</v>
      </c>
      <c r="C220">
        <v>172</v>
      </c>
      <c r="E220" t="s">
        <v>229</v>
      </c>
      <c r="F220" t="s">
        <v>196</v>
      </c>
      <c r="G220" t="s">
        <v>230</v>
      </c>
      <c r="H220" t="s">
        <v>198</v>
      </c>
      <c r="I220">
        <f>I208*J220</f>
        <v>1</v>
      </c>
      <c r="J220">
        <v>0.38461538461538458</v>
      </c>
      <c r="O220">
        <f t="shared" si="110"/>
        <v>6208.33</v>
      </c>
      <c r="P220">
        <f t="shared" si="111"/>
        <v>6208.33</v>
      </c>
      <c r="Q220">
        <f t="shared" si="112"/>
        <v>0</v>
      </c>
      <c r="R220">
        <f t="shared" si="113"/>
        <v>0</v>
      </c>
      <c r="S220">
        <f t="shared" si="114"/>
        <v>0</v>
      </c>
      <c r="T220">
        <f t="shared" si="115"/>
        <v>0</v>
      </c>
      <c r="U220">
        <f t="shared" si="116"/>
        <v>0</v>
      </c>
      <c r="V220">
        <f t="shared" si="117"/>
        <v>0</v>
      </c>
      <c r="W220">
        <f t="shared" si="118"/>
        <v>0</v>
      </c>
      <c r="X220">
        <f t="shared" si="119"/>
        <v>0</v>
      </c>
      <c r="Y220">
        <f t="shared" si="120"/>
        <v>0</v>
      </c>
      <c r="AA220">
        <v>38799519</v>
      </c>
      <c r="AB220">
        <f t="shared" si="121"/>
        <v>6208.33</v>
      </c>
      <c r="AC220">
        <f t="shared" si="122"/>
        <v>6208.33</v>
      </c>
      <c r="AD220">
        <f t="shared" si="123"/>
        <v>0</v>
      </c>
      <c r="AE220">
        <f t="shared" si="124"/>
        <v>0</v>
      </c>
      <c r="AF220">
        <f t="shared" si="125"/>
        <v>0</v>
      </c>
      <c r="AG220">
        <f t="shared" si="126"/>
        <v>0</v>
      </c>
      <c r="AH220">
        <f t="shared" si="127"/>
        <v>0</v>
      </c>
      <c r="AI220">
        <f t="shared" si="128"/>
        <v>0</v>
      </c>
      <c r="AJ220">
        <f t="shared" si="129"/>
        <v>0</v>
      </c>
      <c r="AK220">
        <v>6208.33</v>
      </c>
      <c r="AL220">
        <v>6208.33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70</v>
      </c>
      <c r="AU220">
        <v>10</v>
      </c>
      <c r="AV220">
        <v>1</v>
      </c>
      <c r="AW220">
        <v>1</v>
      </c>
      <c r="AZ220">
        <v>1</v>
      </c>
      <c r="BA220">
        <v>1</v>
      </c>
      <c r="BB220">
        <v>1</v>
      </c>
      <c r="BC220">
        <v>1</v>
      </c>
      <c r="BD220" t="s">
        <v>3</v>
      </c>
      <c r="BE220" t="s">
        <v>3</v>
      </c>
      <c r="BF220" t="s">
        <v>3</v>
      </c>
      <c r="BG220" t="s">
        <v>3</v>
      </c>
      <c r="BH220">
        <v>3</v>
      </c>
      <c r="BI220">
        <v>4</v>
      </c>
      <c r="BJ220" t="s">
        <v>3</v>
      </c>
      <c r="BM220">
        <v>0</v>
      </c>
      <c r="BN220">
        <v>0</v>
      </c>
      <c r="BO220" t="s">
        <v>3</v>
      </c>
      <c r="BP220">
        <v>0</v>
      </c>
      <c r="BQ220">
        <v>1</v>
      </c>
      <c r="BR220">
        <v>0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 t="s">
        <v>3</v>
      </c>
      <c r="BZ220">
        <v>70</v>
      </c>
      <c r="CA220">
        <v>10</v>
      </c>
      <c r="CE220">
        <v>0</v>
      </c>
      <c r="CF220">
        <v>0</v>
      </c>
      <c r="CG220">
        <v>0</v>
      </c>
      <c r="CM220">
        <v>0</v>
      </c>
      <c r="CN220" t="s">
        <v>3</v>
      </c>
      <c r="CO220">
        <v>0</v>
      </c>
      <c r="CP220">
        <f t="shared" si="130"/>
        <v>6208.33</v>
      </c>
      <c r="CQ220">
        <f t="shared" si="131"/>
        <v>6208.33</v>
      </c>
      <c r="CR220">
        <f t="shared" si="132"/>
        <v>0</v>
      </c>
      <c r="CS220">
        <f t="shared" si="133"/>
        <v>0</v>
      </c>
      <c r="CT220">
        <f t="shared" si="134"/>
        <v>0</v>
      </c>
      <c r="CU220">
        <f t="shared" si="135"/>
        <v>0</v>
      </c>
      <c r="CV220">
        <f t="shared" si="136"/>
        <v>0</v>
      </c>
      <c r="CW220">
        <f t="shared" si="137"/>
        <v>0</v>
      </c>
      <c r="CX220">
        <f t="shared" si="138"/>
        <v>0</v>
      </c>
      <c r="CY220">
        <f t="shared" si="139"/>
        <v>0</v>
      </c>
      <c r="CZ220">
        <f t="shared" si="140"/>
        <v>0</v>
      </c>
      <c r="DC220" t="s">
        <v>3</v>
      </c>
      <c r="DD220" t="s">
        <v>3</v>
      </c>
      <c r="DE220" t="s">
        <v>3</v>
      </c>
      <c r="DF220" t="s">
        <v>3</v>
      </c>
      <c r="DG220" t="s">
        <v>3</v>
      </c>
      <c r="DH220" t="s">
        <v>3</v>
      </c>
      <c r="DI220" t="s">
        <v>3</v>
      </c>
      <c r="DJ220" t="s">
        <v>3</v>
      </c>
      <c r="DK220" t="s">
        <v>3</v>
      </c>
      <c r="DL220" t="s">
        <v>3</v>
      </c>
      <c r="DM220" t="s">
        <v>3</v>
      </c>
      <c r="DN220">
        <v>0</v>
      </c>
      <c r="DO220">
        <v>0</v>
      </c>
      <c r="DP220">
        <v>1</v>
      </c>
      <c r="DQ220">
        <v>1</v>
      </c>
      <c r="DU220">
        <v>1010</v>
      </c>
      <c r="DV220" t="s">
        <v>198</v>
      </c>
      <c r="DW220" t="s">
        <v>198</v>
      </c>
      <c r="DX220">
        <v>1</v>
      </c>
      <c r="EE220">
        <v>38447819</v>
      </c>
      <c r="EF220">
        <v>1</v>
      </c>
      <c r="EG220" t="s">
        <v>23</v>
      </c>
      <c r="EH220">
        <v>0</v>
      </c>
      <c r="EI220" t="s">
        <v>3</v>
      </c>
      <c r="EJ220">
        <v>4</v>
      </c>
      <c r="EK220">
        <v>0</v>
      </c>
      <c r="EL220" t="s">
        <v>24</v>
      </c>
      <c r="EM220" t="s">
        <v>25</v>
      </c>
      <c r="EO220" t="s">
        <v>3</v>
      </c>
      <c r="EQ220">
        <v>0</v>
      </c>
      <c r="ER220">
        <v>6208.33</v>
      </c>
      <c r="ES220">
        <v>6208.33</v>
      </c>
      <c r="ET220">
        <v>0</v>
      </c>
      <c r="EU220">
        <v>0</v>
      </c>
      <c r="EV220">
        <v>0</v>
      </c>
      <c r="EW220">
        <v>0</v>
      </c>
      <c r="EX220">
        <v>0</v>
      </c>
      <c r="EZ220">
        <v>5</v>
      </c>
      <c r="FC220">
        <v>1</v>
      </c>
      <c r="FD220">
        <v>18</v>
      </c>
      <c r="FF220">
        <v>7450</v>
      </c>
      <c r="FQ220">
        <v>0</v>
      </c>
      <c r="FR220">
        <f t="shared" si="141"/>
        <v>0</v>
      </c>
      <c r="FS220">
        <v>0</v>
      </c>
      <c r="FX220">
        <v>70</v>
      </c>
      <c r="FY220">
        <v>10</v>
      </c>
      <c r="GA220" t="s">
        <v>228</v>
      </c>
      <c r="GD220">
        <v>0</v>
      </c>
      <c r="GF220">
        <v>-1978890027</v>
      </c>
      <c r="GG220">
        <v>2</v>
      </c>
      <c r="GH220">
        <v>3</v>
      </c>
      <c r="GI220">
        <v>-2</v>
      </c>
      <c r="GJ220">
        <v>0</v>
      </c>
      <c r="GK220">
        <f>ROUND(R220*(R12)/100,2)</f>
        <v>0</v>
      </c>
      <c r="GL220">
        <f t="shared" si="142"/>
        <v>0</v>
      </c>
      <c r="GM220">
        <f t="shared" si="143"/>
        <v>6208.33</v>
      </c>
      <c r="GN220">
        <f t="shared" si="144"/>
        <v>0</v>
      </c>
      <c r="GO220">
        <f t="shared" si="145"/>
        <v>0</v>
      </c>
      <c r="GP220">
        <f t="shared" si="146"/>
        <v>6208.33</v>
      </c>
      <c r="GR220">
        <v>1</v>
      </c>
      <c r="GS220">
        <v>1</v>
      </c>
      <c r="GT220">
        <v>0</v>
      </c>
      <c r="GU220" t="s">
        <v>3</v>
      </c>
      <c r="GV220">
        <f t="shared" si="147"/>
        <v>0</v>
      </c>
      <c r="GW220">
        <v>1</v>
      </c>
      <c r="GX220">
        <f t="shared" si="148"/>
        <v>0</v>
      </c>
      <c r="HA220">
        <v>0</v>
      </c>
      <c r="HB220">
        <v>0</v>
      </c>
      <c r="HC220">
        <f t="shared" si="149"/>
        <v>0</v>
      </c>
      <c r="HE220" t="s">
        <v>200</v>
      </c>
      <c r="HF220" t="s">
        <v>200</v>
      </c>
      <c r="IK220">
        <v>0</v>
      </c>
    </row>
    <row r="221" spans="1:245" x14ac:dyDescent="0.2">
      <c r="A221">
        <v>18</v>
      </c>
      <c r="B221">
        <v>1</v>
      </c>
      <c r="C221">
        <v>173</v>
      </c>
      <c r="E221" t="s">
        <v>231</v>
      </c>
      <c r="F221" t="s">
        <v>196</v>
      </c>
      <c r="G221" t="s">
        <v>232</v>
      </c>
      <c r="H221" t="s">
        <v>198</v>
      </c>
      <c r="I221">
        <f>I208*J221</f>
        <v>4</v>
      </c>
      <c r="J221">
        <v>1.5384615384615383</v>
      </c>
      <c r="O221">
        <f t="shared" si="110"/>
        <v>42500</v>
      </c>
      <c r="P221">
        <f t="shared" si="111"/>
        <v>42500</v>
      </c>
      <c r="Q221">
        <f t="shared" si="112"/>
        <v>0</v>
      </c>
      <c r="R221">
        <f t="shared" si="113"/>
        <v>0</v>
      </c>
      <c r="S221">
        <f t="shared" si="114"/>
        <v>0</v>
      </c>
      <c r="T221">
        <f t="shared" si="115"/>
        <v>0</v>
      </c>
      <c r="U221">
        <f t="shared" si="116"/>
        <v>0</v>
      </c>
      <c r="V221">
        <f t="shared" si="117"/>
        <v>0</v>
      </c>
      <c r="W221">
        <f t="shared" si="118"/>
        <v>0</v>
      </c>
      <c r="X221">
        <f t="shared" si="119"/>
        <v>0</v>
      </c>
      <c r="Y221">
        <f t="shared" si="120"/>
        <v>0</v>
      </c>
      <c r="AA221">
        <v>38799519</v>
      </c>
      <c r="AB221">
        <f t="shared" si="121"/>
        <v>10625</v>
      </c>
      <c r="AC221">
        <f t="shared" si="122"/>
        <v>10625</v>
      </c>
      <c r="AD221">
        <f t="shared" si="123"/>
        <v>0</v>
      </c>
      <c r="AE221">
        <f t="shared" si="124"/>
        <v>0</v>
      </c>
      <c r="AF221">
        <f t="shared" si="125"/>
        <v>0</v>
      </c>
      <c r="AG221">
        <f t="shared" si="126"/>
        <v>0</v>
      </c>
      <c r="AH221">
        <f t="shared" si="127"/>
        <v>0</v>
      </c>
      <c r="AI221">
        <f t="shared" si="128"/>
        <v>0</v>
      </c>
      <c r="AJ221">
        <f t="shared" si="129"/>
        <v>0</v>
      </c>
      <c r="AK221">
        <v>10625</v>
      </c>
      <c r="AL221">
        <v>10625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70</v>
      </c>
      <c r="AU221">
        <v>10</v>
      </c>
      <c r="AV221">
        <v>1</v>
      </c>
      <c r="AW221">
        <v>1</v>
      </c>
      <c r="AZ221">
        <v>1</v>
      </c>
      <c r="BA221">
        <v>1</v>
      </c>
      <c r="BB221">
        <v>1</v>
      </c>
      <c r="BC221">
        <v>1</v>
      </c>
      <c r="BD221" t="s">
        <v>3</v>
      </c>
      <c r="BE221" t="s">
        <v>3</v>
      </c>
      <c r="BF221" t="s">
        <v>3</v>
      </c>
      <c r="BG221" t="s">
        <v>3</v>
      </c>
      <c r="BH221">
        <v>3</v>
      </c>
      <c r="BI221">
        <v>4</v>
      </c>
      <c r="BJ221" t="s">
        <v>3</v>
      </c>
      <c r="BM221">
        <v>0</v>
      </c>
      <c r="BN221">
        <v>0</v>
      </c>
      <c r="BO221" t="s">
        <v>3</v>
      </c>
      <c r="BP221">
        <v>0</v>
      </c>
      <c r="BQ221">
        <v>1</v>
      </c>
      <c r="BR221">
        <v>0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 t="s">
        <v>3</v>
      </c>
      <c r="BZ221">
        <v>70</v>
      </c>
      <c r="CA221">
        <v>10</v>
      </c>
      <c r="CE221">
        <v>0</v>
      </c>
      <c r="CF221">
        <v>0</v>
      </c>
      <c r="CG221">
        <v>0</v>
      </c>
      <c r="CM221">
        <v>0</v>
      </c>
      <c r="CN221" t="s">
        <v>3</v>
      </c>
      <c r="CO221">
        <v>0</v>
      </c>
      <c r="CP221">
        <f t="shared" si="130"/>
        <v>42500</v>
      </c>
      <c r="CQ221">
        <f t="shared" si="131"/>
        <v>10625</v>
      </c>
      <c r="CR221">
        <f t="shared" si="132"/>
        <v>0</v>
      </c>
      <c r="CS221">
        <f t="shared" si="133"/>
        <v>0</v>
      </c>
      <c r="CT221">
        <f t="shared" si="134"/>
        <v>0</v>
      </c>
      <c r="CU221">
        <f t="shared" si="135"/>
        <v>0</v>
      </c>
      <c r="CV221">
        <f t="shared" si="136"/>
        <v>0</v>
      </c>
      <c r="CW221">
        <f t="shared" si="137"/>
        <v>0</v>
      </c>
      <c r="CX221">
        <f t="shared" si="138"/>
        <v>0</v>
      </c>
      <c r="CY221">
        <f t="shared" si="139"/>
        <v>0</v>
      </c>
      <c r="CZ221">
        <f t="shared" si="140"/>
        <v>0</v>
      </c>
      <c r="DC221" t="s">
        <v>3</v>
      </c>
      <c r="DD221" t="s">
        <v>3</v>
      </c>
      <c r="DE221" t="s">
        <v>3</v>
      </c>
      <c r="DF221" t="s">
        <v>3</v>
      </c>
      <c r="DG221" t="s">
        <v>3</v>
      </c>
      <c r="DH221" t="s">
        <v>3</v>
      </c>
      <c r="DI221" t="s">
        <v>3</v>
      </c>
      <c r="DJ221" t="s">
        <v>3</v>
      </c>
      <c r="DK221" t="s">
        <v>3</v>
      </c>
      <c r="DL221" t="s">
        <v>3</v>
      </c>
      <c r="DM221" t="s">
        <v>3</v>
      </c>
      <c r="DN221">
        <v>0</v>
      </c>
      <c r="DO221">
        <v>0</v>
      </c>
      <c r="DP221">
        <v>1</v>
      </c>
      <c r="DQ221">
        <v>1</v>
      </c>
      <c r="DU221">
        <v>1010</v>
      </c>
      <c r="DV221" t="s">
        <v>198</v>
      </c>
      <c r="DW221" t="s">
        <v>198</v>
      </c>
      <c r="DX221">
        <v>1</v>
      </c>
      <c r="EE221">
        <v>38447819</v>
      </c>
      <c r="EF221">
        <v>1</v>
      </c>
      <c r="EG221" t="s">
        <v>23</v>
      </c>
      <c r="EH221">
        <v>0</v>
      </c>
      <c r="EI221" t="s">
        <v>3</v>
      </c>
      <c r="EJ221">
        <v>4</v>
      </c>
      <c r="EK221">
        <v>0</v>
      </c>
      <c r="EL221" t="s">
        <v>24</v>
      </c>
      <c r="EM221" t="s">
        <v>25</v>
      </c>
      <c r="EO221" t="s">
        <v>3</v>
      </c>
      <c r="EQ221">
        <v>0</v>
      </c>
      <c r="ER221">
        <v>10625</v>
      </c>
      <c r="ES221">
        <v>10625</v>
      </c>
      <c r="ET221">
        <v>0</v>
      </c>
      <c r="EU221">
        <v>0</v>
      </c>
      <c r="EV221">
        <v>0</v>
      </c>
      <c r="EW221">
        <v>0</v>
      </c>
      <c r="EX221">
        <v>0</v>
      </c>
      <c r="EZ221">
        <v>5</v>
      </c>
      <c r="FC221">
        <v>1</v>
      </c>
      <c r="FD221">
        <v>18</v>
      </c>
      <c r="FF221">
        <v>12750</v>
      </c>
      <c r="FQ221">
        <v>0</v>
      </c>
      <c r="FR221">
        <f t="shared" si="141"/>
        <v>0</v>
      </c>
      <c r="FS221">
        <v>0</v>
      </c>
      <c r="FX221">
        <v>70</v>
      </c>
      <c r="FY221">
        <v>10</v>
      </c>
      <c r="GA221" t="s">
        <v>233</v>
      </c>
      <c r="GD221">
        <v>0</v>
      </c>
      <c r="GF221">
        <v>-1470213913</v>
      </c>
      <c r="GG221">
        <v>2</v>
      </c>
      <c r="GH221">
        <v>3</v>
      </c>
      <c r="GI221">
        <v>-2</v>
      </c>
      <c r="GJ221">
        <v>0</v>
      </c>
      <c r="GK221">
        <f>ROUND(R221*(R12)/100,2)</f>
        <v>0</v>
      </c>
      <c r="GL221">
        <f t="shared" si="142"/>
        <v>0</v>
      </c>
      <c r="GM221">
        <f t="shared" si="143"/>
        <v>42500</v>
      </c>
      <c r="GN221">
        <f t="shared" si="144"/>
        <v>0</v>
      </c>
      <c r="GO221">
        <f t="shared" si="145"/>
        <v>0</v>
      </c>
      <c r="GP221">
        <f t="shared" si="146"/>
        <v>42500</v>
      </c>
      <c r="GR221">
        <v>1</v>
      </c>
      <c r="GS221">
        <v>1</v>
      </c>
      <c r="GT221">
        <v>0</v>
      </c>
      <c r="GU221" t="s">
        <v>3</v>
      </c>
      <c r="GV221">
        <f t="shared" si="147"/>
        <v>0</v>
      </c>
      <c r="GW221">
        <v>1</v>
      </c>
      <c r="GX221">
        <f t="shared" si="148"/>
        <v>0</v>
      </c>
      <c r="HA221">
        <v>0</v>
      </c>
      <c r="HB221">
        <v>0</v>
      </c>
      <c r="HC221">
        <f t="shared" si="149"/>
        <v>0</v>
      </c>
      <c r="HE221" t="s">
        <v>200</v>
      </c>
      <c r="HF221" t="s">
        <v>200</v>
      </c>
      <c r="IK221">
        <v>0</v>
      </c>
    </row>
    <row r="222" spans="1:245" x14ac:dyDescent="0.2">
      <c r="A222">
        <v>18</v>
      </c>
      <c r="B222">
        <v>1</v>
      </c>
      <c r="C222">
        <v>174</v>
      </c>
      <c r="E222" t="s">
        <v>234</v>
      </c>
      <c r="F222" t="s">
        <v>196</v>
      </c>
      <c r="G222" t="s">
        <v>235</v>
      </c>
      <c r="H222" t="s">
        <v>198</v>
      </c>
      <c r="I222">
        <f>I208*J222</f>
        <v>1</v>
      </c>
      <c r="J222">
        <v>0.38461538461538458</v>
      </c>
      <c r="O222">
        <f t="shared" si="110"/>
        <v>33250</v>
      </c>
      <c r="P222">
        <f t="shared" si="111"/>
        <v>33250</v>
      </c>
      <c r="Q222">
        <f t="shared" si="112"/>
        <v>0</v>
      </c>
      <c r="R222">
        <f t="shared" si="113"/>
        <v>0</v>
      </c>
      <c r="S222">
        <f t="shared" si="114"/>
        <v>0</v>
      </c>
      <c r="T222">
        <f t="shared" si="115"/>
        <v>0</v>
      </c>
      <c r="U222">
        <f t="shared" si="116"/>
        <v>0</v>
      </c>
      <c r="V222">
        <f t="shared" si="117"/>
        <v>0</v>
      </c>
      <c r="W222">
        <f t="shared" si="118"/>
        <v>0</v>
      </c>
      <c r="X222">
        <f t="shared" si="119"/>
        <v>0</v>
      </c>
      <c r="Y222">
        <f t="shared" si="120"/>
        <v>0</v>
      </c>
      <c r="AA222">
        <v>38799519</v>
      </c>
      <c r="AB222">
        <f t="shared" si="121"/>
        <v>33250</v>
      </c>
      <c r="AC222">
        <f t="shared" si="122"/>
        <v>33250</v>
      </c>
      <c r="AD222">
        <f t="shared" si="123"/>
        <v>0</v>
      </c>
      <c r="AE222">
        <f t="shared" si="124"/>
        <v>0</v>
      </c>
      <c r="AF222">
        <f t="shared" si="125"/>
        <v>0</v>
      </c>
      <c r="AG222">
        <f t="shared" si="126"/>
        <v>0</v>
      </c>
      <c r="AH222">
        <f t="shared" si="127"/>
        <v>0</v>
      </c>
      <c r="AI222">
        <f t="shared" si="128"/>
        <v>0</v>
      </c>
      <c r="AJ222">
        <f t="shared" si="129"/>
        <v>0</v>
      </c>
      <c r="AK222">
        <v>33250</v>
      </c>
      <c r="AL222">
        <v>33250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70</v>
      </c>
      <c r="AU222">
        <v>10</v>
      </c>
      <c r="AV222">
        <v>1</v>
      </c>
      <c r="AW222">
        <v>1</v>
      </c>
      <c r="AZ222">
        <v>1</v>
      </c>
      <c r="BA222">
        <v>1</v>
      </c>
      <c r="BB222">
        <v>1</v>
      </c>
      <c r="BC222">
        <v>1</v>
      </c>
      <c r="BD222" t="s">
        <v>3</v>
      </c>
      <c r="BE222" t="s">
        <v>3</v>
      </c>
      <c r="BF222" t="s">
        <v>3</v>
      </c>
      <c r="BG222" t="s">
        <v>3</v>
      </c>
      <c r="BH222">
        <v>3</v>
      </c>
      <c r="BI222">
        <v>4</v>
      </c>
      <c r="BJ222" t="s">
        <v>3</v>
      </c>
      <c r="BM222">
        <v>0</v>
      </c>
      <c r="BN222">
        <v>0</v>
      </c>
      <c r="BO222" t="s">
        <v>3</v>
      </c>
      <c r="BP222">
        <v>0</v>
      </c>
      <c r="BQ222">
        <v>1</v>
      </c>
      <c r="BR222">
        <v>0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 t="s">
        <v>3</v>
      </c>
      <c r="BZ222">
        <v>70</v>
      </c>
      <c r="CA222">
        <v>10</v>
      </c>
      <c r="CE222">
        <v>0</v>
      </c>
      <c r="CF222">
        <v>0</v>
      </c>
      <c r="CG222">
        <v>0</v>
      </c>
      <c r="CM222">
        <v>0</v>
      </c>
      <c r="CN222" t="s">
        <v>3</v>
      </c>
      <c r="CO222">
        <v>0</v>
      </c>
      <c r="CP222">
        <f t="shared" si="130"/>
        <v>33250</v>
      </c>
      <c r="CQ222">
        <f t="shared" si="131"/>
        <v>33250</v>
      </c>
      <c r="CR222">
        <f t="shared" si="132"/>
        <v>0</v>
      </c>
      <c r="CS222">
        <f t="shared" si="133"/>
        <v>0</v>
      </c>
      <c r="CT222">
        <f t="shared" si="134"/>
        <v>0</v>
      </c>
      <c r="CU222">
        <f t="shared" si="135"/>
        <v>0</v>
      </c>
      <c r="CV222">
        <f t="shared" si="136"/>
        <v>0</v>
      </c>
      <c r="CW222">
        <f t="shared" si="137"/>
        <v>0</v>
      </c>
      <c r="CX222">
        <f t="shared" si="138"/>
        <v>0</v>
      </c>
      <c r="CY222">
        <f t="shared" si="139"/>
        <v>0</v>
      </c>
      <c r="CZ222">
        <f t="shared" si="140"/>
        <v>0</v>
      </c>
      <c r="DC222" t="s">
        <v>3</v>
      </c>
      <c r="DD222" t="s">
        <v>3</v>
      </c>
      <c r="DE222" t="s">
        <v>3</v>
      </c>
      <c r="DF222" t="s">
        <v>3</v>
      </c>
      <c r="DG222" t="s">
        <v>3</v>
      </c>
      <c r="DH222" t="s">
        <v>3</v>
      </c>
      <c r="DI222" t="s">
        <v>3</v>
      </c>
      <c r="DJ222" t="s">
        <v>3</v>
      </c>
      <c r="DK222" t="s">
        <v>3</v>
      </c>
      <c r="DL222" t="s">
        <v>3</v>
      </c>
      <c r="DM222" t="s">
        <v>3</v>
      </c>
      <c r="DN222">
        <v>0</v>
      </c>
      <c r="DO222">
        <v>0</v>
      </c>
      <c r="DP222">
        <v>1</v>
      </c>
      <c r="DQ222">
        <v>1</v>
      </c>
      <c r="DU222">
        <v>1010</v>
      </c>
      <c r="DV222" t="s">
        <v>198</v>
      </c>
      <c r="DW222" t="s">
        <v>198</v>
      </c>
      <c r="DX222">
        <v>1</v>
      </c>
      <c r="EE222">
        <v>38447819</v>
      </c>
      <c r="EF222">
        <v>1</v>
      </c>
      <c r="EG222" t="s">
        <v>23</v>
      </c>
      <c r="EH222">
        <v>0</v>
      </c>
      <c r="EI222" t="s">
        <v>3</v>
      </c>
      <c r="EJ222">
        <v>4</v>
      </c>
      <c r="EK222">
        <v>0</v>
      </c>
      <c r="EL222" t="s">
        <v>24</v>
      </c>
      <c r="EM222" t="s">
        <v>25</v>
      </c>
      <c r="EO222" t="s">
        <v>3</v>
      </c>
      <c r="EQ222">
        <v>0</v>
      </c>
      <c r="ER222">
        <v>33250</v>
      </c>
      <c r="ES222">
        <v>33250</v>
      </c>
      <c r="ET222">
        <v>0</v>
      </c>
      <c r="EU222">
        <v>0</v>
      </c>
      <c r="EV222">
        <v>0</v>
      </c>
      <c r="EW222">
        <v>0</v>
      </c>
      <c r="EX222">
        <v>0</v>
      </c>
      <c r="EZ222">
        <v>5</v>
      </c>
      <c r="FC222">
        <v>1</v>
      </c>
      <c r="FD222">
        <v>18</v>
      </c>
      <c r="FF222">
        <v>39900</v>
      </c>
      <c r="FQ222">
        <v>0</v>
      </c>
      <c r="FR222">
        <f t="shared" si="141"/>
        <v>0</v>
      </c>
      <c r="FS222">
        <v>0</v>
      </c>
      <c r="FX222">
        <v>70</v>
      </c>
      <c r="FY222">
        <v>10</v>
      </c>
      <c r="GA222" t="s">
        <v>236</v>
      </c>
      <c r="GD222">
        <v>0</v>
      </c>
      <c r="GF222">
        <v>-1163931199</v>
      </c>
      <c r="GG222">
        <v>2</v>
      </c>
      <c r="GH222">
        <v>3</v>
      </c>
      <c r="GI222">
        <v>-2</v>
      </c>
      <c r="GJ222">
        <v>0</v>
      </c>
      <c r="GK222">
        <f>ROUND(R222*(R12)/100,2)</f>
        <v>0</v>
      </c>
      <c r="GL222">
        <f t="shared" si="142"/>
        <v>0</v>
      </c>
      <c r="GM222">
        <f t="shared" si="143"/>
        <v>33250</v>
      </c>
      <c r="GN222">
        <f t="shared" si="144"/>
        <v>0</v>
      </c>
      <c r="GO222">
        <f t="shared" si="145"/>
        <v>0</v>
      </c>
      <c r="GP222">
        <f t="shared" si="146"/>
        <v>33250</v>
      </c>
      <c r="GR222">
        <v>1</v>
      </c>
      <c r="GS222">
        <v>1</v>
      </c>
      <c r="GT222">
        <v>0</v>
      </c>
      <c r="GU222" t="s">
        <v>3</v>
      </c>
      <c r="GV222">
        <f t="shared" si="147"/>
        <v>0</v>
      </c>
      <c r="GW222">
        <v>1</v>
      </c>
      <c r="GX222">
        <f t="shared" si="148"/>
        <v>0</v>
      </c>
      <c r="HA222">
        <v>0</v>
      </c>
      <c r="HB222">
        <v>0</v>
      </c>
      <c r="HC222">
        <f t="shared" si="149"/>
        <v>0</v>
      </c>
      <c r="HE222" t="s">
        <v>200</v>
      </c>
      <c r="HF222" t="s">
        <v>200</v>
      </c>
      <c r="IK222">
        <v>0</v>
      </c>
    </row>
    <row r="223" spans="1:245" x14ac:dyDescent="0.2">
      <c r="A223">
        <v>18</v>
      </c>
      <c r="B223">
        <v>1</v>
      </c>
      <c r="C223">
        <v>175</v>
      </c>
      <c r="E223" t="s">
        <v>237</v>
      </c>
      <c r="F223" t="s">
        <v>196</v>
      </c>
      <c r="G223" t="s">
        <v>238</v>
      </c>
      <c r="H223" t="s">
        <v>198</v>
      </c>
      <c r="I223">
        <f>I208*J223</f>
        <v>1</v>
      </c>
      <c r="J223">
        <v>0.38461538461538458</v>
      </c>
      <c r="O223">
        <f t="shared" si="110"/>
        <v>29916.67</v>
      </c>
      <c r="P223">
        <f t="shared" si="111"/>
        <v>29916.67</v>
      </c>
      <c r="Q223">
        <f t="shared" si="112"/>
        <v>0</v>
      </c>
      <c r="R223">
        <f t="shared" si="113"/>
        <v>0</v>
      </c>
      <c r="S223">
        <f t="shared" si="114"/>
        <v>0</v>
      </c>
      <c r="T223">
        <f t="shared" si="115"/>
        <v>0</v>
      </c>
      <c r="U223">
        <f t="shared" si="116"/>
        <v>0</v>
      </c>
      <c r="V223">
        <f t="shared" si="117"/>
        <v>0</v>
      </c>
      <c r="W223">
        <f t="shared" si="118"/>
        <v>0</v>
      </c>
      <c r="X223">
        <f t="shared" si="119"/>
        <v>0</v>
      </c>
      <c r="Y223">
        <f t="shared" si="120"/>
        <v>0</v>
      </c>
      <c r="AA223">
        <v>38799519</v>
      </c>
      <c r="AB223">
        <f t="shared" si="121"/>
        <v>29916.67</v>
      </c>
      <c r="AC223">
        <f t="shared" si="122"/>
        <v>29916.67</v>
      </c>
      <c r="AD223">
        <f t="shared" si="123"/>
        <v>0</v>
      </c>
      <c r="AE223">
        <f t="shared" si="124"/>
        <v>0</v>
      </c>
      <c r="AF223">
        <f t="shared" si="125"/>
        <v>0</v>
      </c>
      <c r="AG223">
        <f t="shared" si="126"/>
        <v>0</v>
      </c>
      <c r="AH223">
        <f t="shared" si="127"/>
        <v>0</v>
      </c>
      <c r="AI223">
        <f t="shared" si="128"/>
        <v>0</v>
      </c>
      <c r="AJ223">
        <f t="shared" si="129"/>
        <v>0</v>
      </c>
      <c r="AK223">
        <v>29916.67</v>
      </c>
      <c r="AL223">
        <v>29916.67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70</v>
      </c>
      <c r="AU223">
        <v>10</v>
      </c>
      <c r="AV223">
        <v>1</v>
      </c>
      <c r="AW223">
        <v>1</v>
      </c>
      <c r="AZ223">
        <v>1</v>
      </c>
      <c r="BA223">
        <v>1</v>
      </c>
      <c r="BB223">
        <v>1</v>
      </c>
      <c r="BC223">
        <v>1</v>
      </c>
      <c r="BD223" t="s">
        <v>3</v>
      </c>
      <c r="BE223" t="s">
        <v>3</v>
      </c>
      <c r="BF223" t="s">
        <v>3</v>
      </c>
      <c r="BG223" t="s">
        <v>3</v>
      </c>
      <c r="BH223">
        <v>3</v>
      </c>
      <c r="BI223">
        <v>4</v>
      </c>
      <c r="BJ223" t="s">
        <v>3</v>
      </c>
      <c r="BM223">
        <v>0</v>
      </c>
      <c r="BN223">
        <v>0</v>
      </c>
      <c r="BO223" t="s">
        <v>3</v>
      </c>
      <c r="BP223">
        <v>0</v>
      </c>
      <c r="BQ223">
        <v>1</v>
      </c>
      <c r="BR223">
        <v>0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 t="s">
        <v>3</v>
      </c>
      <c r="BZ223">
        <v>70</v>
      </c>
      <c r="CA223">
        <v>10</v>
      </c>
      <c r="CE223">
        <v>0</v>
      </c>
      <c r="CF223">
        <v>0</v>
      </c>
      <c r="CG223">
        <v>0</v>
      </c>
      <c r="CM223">
        <v>0</v>
      </c>
      <c r="CN223" t="s">
        <v>3</v>
      </c>
      <c r="CO223">
        <v>0</v>
      </c>
      <c r="CP223">
        <f t="shared" si="130"/>
        <v>29916.67</v>
      </c>
      <c r="CQ223">
        <f t="shared" si="131"/>
        <v>29916.67</v>
      </c>
      <c r="CR223">
        <f t="shared" si="132"/>
        <v>0</v>
      </c>
      <c r="CS223">
        <f t="shared" si="133"/>
        <v>0</v>
      </c>
      <c r="CT223">
        <f t="shared" si="134"/>
        <v>0</v>
      </c>
      <c r="CU223">
        <f t="shared" si="135"/>
        <v>0</v>
      </c>
      <c r="CV223">
        <f t="shared" si="136"/>
        <v>0</v>
      </c>
      <c r="CW223">
        <f t="shared" si="137"/>
        <v>0</v>
      </c>
      <c r="CX223">
        <f t="shared" si="138"/>
        <v>0</v>
      </c>
      <c r="CY223">
        <f t="shared" si="139"/>
        <v>0</v>
      </c>
      <c r="CZ223">
        <f t="shared" si="140"/>
        <v>0</v>
      </c>
      <c r="DC223" t="s">
        <v>3</v>
      </c>
      <c r="DD223" t="s">
        <v>3</v>
      </c>
      <c r="DE223" t="s">
        <v>3</v>
      </c>
      <c r="DF223" t="s">
        <v>3</v>
      </c>
      <c r="DG223" t="s">
        <v>3</v>
      </c>
      <c r="DH223" t="s">
        <v>3</v>
      </c>
      <c r="DI223" t="s">
        <v>3</v>
      </c>
      <c r="DJ223" t="s">
        <v>3</v>
      </c>
      <c r="DK223" t="s">
        <v>3</v>
      </c>
      <c r="DL223" t="s">
        <v>3</v>
      </c>
      <c r="DM223" t="s">
        <v>3</v>
      </c>
      <c r="DN223">
        <v>0</v>
      </c>
      <c r="DO223">
        <v>0</v>
      </c>
      <c r="DP223">
        <v>1</v>
      </c>
      <c r="DQ223">
        <v>1</v>
      </c>
      <c r="DU223">
        <v>1010</v>
      </c>
      <c r="DV223" t="s">
        <v>198</v>
      </c>
      <c r="DW223" t="s">
        <v>198</v>
      </c>
      <c r="DX223">
        <v>1</v>
      </c>
      <c r="EE223">
        <v>38447819</v>
      </c>
      <c r="EF223">
        <v>1</v>
      </c>
      <c r="EG223" t="s">
        <v>23</v>
      </c>
      <c r="EH223">
        <v>0</v>
      </c>
      <c r="EI223" t="s">
        <v>3</v>
      </c>
      <c r="EJ223">
        <v>4</v>
      </c>
      <c r="EK223">
        <v>0</v>
      </c>
      <c r="EL223" t="s">
        <v>24</v>
      </c>
      <c r="EM223" t="s">
        <v>25</v>
      </c>
      <c r="EO223" t="s">
        <v>3</v>
      </c>
      <c r="EQ223">
        <v>0</v>
      </c>
      <c r="ER223">
        <v>29916.67</v>
      </c>
      <c r="ES223">
        <v>29916.67</v>
      </c>
      <c r="ET223">
        <v>0</v>
      </c>
      <c r="EU223">
        <v>0</v>
      </c>
      <c r="EV223">
        <v>0</v>
      </c>
      <c r="EW223">
        <v>0</v>
      </c>
      <c r="EX223">
        <v>0</v>
      </c>
      <c r="EZ223">
        <v>5</v>
      </c>
      <c r="FC223">
        <v>1</v>
      </c>
      <c r="FD223">
        <v>18</v>
      </c>
      <c r="FF223">
        <v>35900</v>
      </c>
      <c r="FQ223">
        <v>0</v>
      </c>
      <c r="FR223">
        <f t="shared" si="141"/>
        <v>0</v>
      </c>
      <c r="FS223">
        <v>0</v>
      </c>
      <c r="FX223">
        <v>70</v>
      </c>
      <c r="FY223">
        <v>10</v>
      </c>
      <c r="GA223" t="s">
        <v>239</v>
      </c>
      <c r="GD223">
        <v>0</v>
      </c>
      <c r="GF223">
        <v>-64936516</v>
      </c>
      <c r="GG223">
        <v>2</v>
      </c>
      <c r="GH223">
        <v>3</v>
      </c>
      <c r="GI223">
        <v>-2</v>
      </c>
      <c r="GJ223">
        <v>0</v>
      </c>
      <c r="GK223">
        <f>ROUND(R223*(R12)/100,2)</f>
        <v>0</v>
      </c>
      <c r="GL223">
        <f t="shared" si="142"/>
        <v>0</v>
      </c>
      <c r="GM223">
        <f t="shared" si="143"/>
        <v>29916.67</v>
      </c>
      <c r="GN223">
        <f t="shared" si="144"/>
        <v>0</v>
      </c>
      <c r="GO223">
        <f t="shared" si="145"/>
        <v>0</v>
      </c>
      <c r="GP223">
        <f t="shared" si="146"/>
        <v>29916.67</v>
      </c>
      <c r="GR223">
        <v>1</v>
      </c>
      <c r="GS223">
        <v>1</v>
      </c>
      <c r="GT223">
        <v>0</v>
      </c>
      <c r="GU223" t="s">
        <v>3</v>
      </c>
      <c r="GV223">
        <f t="shared" si="147"/>
        <v>0</v>
      </c>
      <c r="GW223">
        <v>1</v>
      </c>
      <c r="GX223">
        <f t="shared" si="148"/>
        <v>0</v>
      </c>
      <c r="HA223">
        <v>0</v>
      </c>
      <c r="HB223">
        <v>0</v>
      </c>
      <c r="HC223">
        <f t="shared" si="149"/>
        <v>0</v>
      </c>
      <c r="HE223" t="s">
        <v>200</v>
      </c>
      <c r="HF223" t="s">
        <v>200</v>
      </c>
      <c r="IK223">
        <v>0</v>
      </c>
    </row>
    <row r="224" spans="1:245" x14ac:dyDescent="0.2">
      <c r="A224">
        <v>18</v>
      </c>
      <c r="B224">
        <v>1</v>
      </c>
      <c r="C224">
        <v>176</v>
      </c>
      <c r="E224" t="s">
        <v>240</v>
      </c>
      <c r="F224" t="s">
        <v>196</v>
      </c>
      <c r="G224" t="s">
        <v>241</v>
      </c>
      <c r="H224" t="s">
        <v>198</v>
      </c>
      <c r="I224">
        <f>I208*J224</f>
        <v>1</v>
      </c>
      <c r="J224">
        <v>0.38461538461538458</v>
      </c>
      <c r="O224">
        <f t="shared" si="110"/>
        <v>33125</v>
      </c>
      <c r="P224">
        <f t="shared" si="111"/>
        <v>33125</v>
      </c>
      <c r="Q224">
        <f t="shared" si="112"/>
        <v>0</v>
      </c>
      <c r="R224">
        <f t="shared" si="113"/>
        <v>0</v>
      </c>
      <c r="S224">
        <f t="shared" si="114"/>
        <v>0</v>
      </c>
      <c r="T224">
        <f t="shared" si="115"/>
        <v>0</v>
      </c>
      <c r="U224">
        <f t="shared" si="116"/>
        <v>0</v>
      </c>
      <c r="V224">
        <f t="shared" si="117"/>
        <v>0</v>
      </c>
      <c r="W224">
        <f t="shared" si="118"/>
        <v>0</v>
      </c>
      <c r="X224">
        <f t="shared" si="119"/>
        <v>0</v>
      </c>
      <c r="Y224">
        <f t="shared" si="120"/>
        <v>0</v>
      </c>
      <c r="AA224">
        <v>38799519</v>
      </c>
      <c r="AB224">
        <f t="shared" si="121"/>
        <v>33125</v>
      </c>
      <c r="AC224">
        <f t="shared" si="122"/>
        <v>33125</v>
      </c>
      <c r="AD224">
        <f t="shared" si="123"/>
        <v>0</v>
      </c>
      <c r="AE224">
        <f t="shared" si="124"/>
        <v>0</v>
      </c>
      <c r="AF224">
        <f t="shared" si="125"/>
        <v>0</v>
      </c>
      <c r="AG224">
        <f t="shared" si="126"/>
        <v>0</v>
      </c>
      <c r="AH224">
        <f t="shared" si="127"/>
        <v>0</v>
      </c>
      <c r="AI224">
        <f t="shared" si="128"/>
        <v>0</v>
      </c>
      <c r="AJ224">
        <f t="shared" si="129"/>
        <v>0</v>
      </c>
      <c r="AK224">
        <v>33125</v>
      </c>
      <c r="AL224">
        <v>33125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70</v>
      </c>
      <c r="AU224">
        <v>10</v>
      </c>
      <c r="AV224">
        <v>1</v>
      </c>
      <c r="AW224">
        <v>1</v>
      </c>
      <c r="AZ224">
        <v>1</v>
      </c>
      <c r="BA224">
        <v>1</v>
      </c>
      <c r="BB224">
        <v>1</v>
      </c>
      <c r="BC224">
        <v>1</v>
      </c>
      <c r="BD224" t="s">
        <v>3</v>
      </c>
      <c r="BE224" t="s">
        <v>3</v>
      </c>
      <c r="BF224" t="s">
        <v>3</v>
      </c>
      <c r="BG224" t="s">
        <v>3</v>
      </c>
      <c r="BH224">
        <v>3</v>
      </c>
      <c r="BI224">
        <v>4</v>
      </c>
      <c r="BJ224" t="s">
        <v>3</v>
      </c>
      <c r="BM224">
        <v>0</v>
      </c>
      <c r="BN224">
        <v>0</v>
      </c>
      <c r="BO224" t="s">
        <v>3</v>
      </c>
      <c r="BP224">
        <v>0</v>
      </c>
      <c r="BQ224">
        <v>1</v>
      </c>
      <c r="BR224">
        <v>0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 t="s">
        <v>3</v>
      </c>
      <c r="BZ224">
        <v>70</v>
      </c>
      <c r="CA224">
        <v>10</v>
      </c>
      <c r="CE224">
        <v>0</v>
      </c>
      <c r="CF224">
        <v>0</v>
      </c>
      <c r="CG224">
        <v>0</v>
      </c>
      <c r="CM224">
        <v>0</v>
      </c>
      <c r="CN224" t="s">
        <v>3</v>
      </c>
      <c r="CO224">
        <v>0</v>
      </c>
      <c r="CP224">
        <f t="shared" si="130"/>
        <v>33125</v>
      </c>
      <c r="CQ224">
        <f t="shared" si="131"/>
        <v>33125</v>
      </c>
      <c r="CR224">
        <f t="shared" si="132"/>
        <v>0</v>
      </c>
      <c r="CS224">
        <f t="shared" si="133"/>
        <v>0</v>
      </c>
      <c r="CT224">
        <f t="shared" si="134"/>
        <v>0</v>
      </c>
      <c r="CU224">
        <f t="shared" si="135"/>
        <v>0</v>
      </c>
      <c r="CV224">
        <f t="shared" si="136"/>
        <v>0</v>
      </c>
      <c r="CW224">
        <f t="shared" si="137"/>
        <v>0</v>
      </c>
      <c r="CX224">
        <f t="shared" si="138"/>
        <v>0</v>
      </c>
      <c r="CY224">
        <f t="shared" si="139"/>
        <v>0</v>
      </c>
      <c r="CZ224">
        <f t="shared" si="140"/>
        <v>0</v>
      </c>
      <c r="DC224" t="s">
        <v>3</v>
      </c>
      <c r="DD224" t="s">
        <v>3</v>
      </c>
      <c r="DE224" t="s">
        <v>3</v>
      </c>
      <c r="DF224" t="s">
        <v>3</v>
      </c>
      <c r="DG224" t="s">
        <v>3</v>
      </c>
      <c r="DH224" t="s">
        <v>3</v>
      </c>
      <c r="DI224" t="s">
        <v>3</v>
      </c>
      <c r="DJ224" t="s">
        <v>3</v>
      </c>
      <c r="DK224" t="s">
        <v>3</v>
      </c>
      <c r="DL224" t="s">
        <v>3</v>
      </c>
      <c r="DM224" t="s">
        <v>3</v>
      </c>
      <c r="DN224">
        <v>0</v>
      </c>
      <c r="DO224">
        <v>0</v>
      </c>
      <c r="DP224">
        <v>1</v>
      </c>
      <c r="DQ224">
        <v>1</v>
      </c>
      <c r="DU224">
        <v>1010</v>
      </c>
      <c r="DV224" t="s">
        <v>198</v>
      </c>
      <c r="DW224" t="s">
        <v>198</v>
      </c>
      <c r="DX224">
        <v>1</v>
      </c>
      <c r="EE224">
        <v>38447819</v>
      </c>
      <c r="EF224">
        <v>1</v>
      </c>
      <c r="EG224" t="s">
        <v>23</v>
      </c>
      <c r="EH224">
        <v>0</v>
      </c>
      <c r="EI224" t="s">
        <v>3</v>
      </c>
      <c r="EJ224">
        <v>4</v>
      </c>
      <c r="EK224">
        <v>0</v>
      </c>
      <c r="EL224" t="s">
        <v>24</v>
      </c>
      <c r="EM224" t="s">
        <v>25</v>
      </c>
      <c r="EO224" t="s">
        <v>3</v>
      </c>
      <c r="EQ224">
        <v>0</v>
      </c>
      <c r="ER224">
        <v>33125</v>
      </c>
      <c r="ES224">
        <v>33125</v>
      </c>
      <c r="ET224">
        <v>0</v>
      </c>
      <c r="EU224">
        <v>0</v>
      </c>
      <c r="EV224">
        <v>0</v>
      </c>
      <c r="EW224">
        <v>0</v>
      </c>
      <c r="EX224">
        <v>0</v>
      </c>
      <c r="EZ224">
        <v>5</v>
      </c>
      <c r="FC224">
        <v>1</v>
      </c>
      <c r="FD224">
        <v>18</v>
      </c>
      <c r="FF224">
        <v>39750</v>
      </c>
      <c r="FQ224">
        <v>0</v>
      </c>
      <c r="FR224">
        <f t="shared" si="141"/>
        <v>0</v>
      </c>
      <c r="FS224">
        <v>0</v>
      </c>
      <c r="FX224">
        <v>70</v>
      </c>
      <c r="FY224">
        <v>10</v>
      </c>
      <c r="GA224" t="s">
        <v>242</v>
      </c>
      <c r="GD224">
        <v>0</v>
      </c>
      <c r="GF224">
        <v>-456930386</v>
      </c>
      <c r="GG224">
        <v>2</v>
      </c>
      <c r="GH224">
        <v>3</v>
      </c>
      <c r="GI224">
        <v>-2</v>
      </c>
      <c r="GJ224">
        <v>0</v>
      </c>
      <c r="GK224">
        <f>ROUND(R224*(R12)/100,2)</f>
        <v>0</v>
      </c>
      <c r="GL224">
        <f t="shared" si="142"/>
        <v>0</v>
      </c>
      <c r="GM224">
        <f t="shared" si="143"/>
        <v>33125</v>
      </c>
      <c r="GN224">
        <f t="shared" si="144"/>
        <v>0</v>
      </c>
      <c r="GO224">
        <f t="shared" si="145"/>
        <v>0</v>
      </c>
      <c r="GP224">
        <f t="shared" si="146"/>
        <v>33125</v>
      </c>
      <c r="GR224">
        <v>1</v>
      </c>
      <c r="GS224">
        <v>1</v>
      </c>
      <c r="GT224">
        <v>0</v>
      </c>
      <c r="GU224" t="s">
        <v>3</v>
      </c>
      <c r="GV224">
        <f t="shared" si="147"/>
        <v>0</v>
      </c>
      <c r="GW224">
        <v>1</v>
      </c>
      <c r="GX224">
        <f t="shared" si="148"/>
        <v>0</v>
      </c>
      <c r="HA224">
        <v>0</v>
      </c>
      <c r="HB224">
        <v>0</v>
      </c>
      <c r="HC224">
        <f t="shared" si="149"/>
        <v>0</v>
      </c>
      <c r="HE224" t="s">
        <v>200</v>
      </c>
      <c r="HF224" t="s">
        <v>200</v>
      </c>
      <c r="IK224">
        <v>0</v>
      </c>
    </row>
    <row r="225" spans="1:245" x14ac:dyDescent="0.2">
      <c r="A225">
        <v>18</v>
      </c>
      <c r="B225">
        <v>1</v>
      </c>
      <c r="C225">
        <v>177</v>
      </c>
      <c r="E225" t="s">
        <v>243</v>
      </c>
      <c r="F225" t="s">
        <v>196</v>
      </c>
      <c r="G225" t="s">
        <v>244</v>
      </c>
      <c r="H225" t="s">
        <v>198</v>
      </c>
      <c r="I225">
        <f>I208*J225</f>
        <v>1</v>
      </c>
      <c r="J225">
        <v>0.38461538461538458</v>
      </c>
      <c r="O225">
        <f t="shared" si="110"/>
        <v>28541.67</v>
      </c>
      <c r="P225">
        <f t="shared" si="111"/>
        <v>28541.67</v>
      </c>
      <c r="Q225">
        <f t="shared" si="112"/>
        <v>0</v>
      </c>
      <c r="R225">
        <f t="shared" si="113"/>
        <v>0</v>
      </c>
      <c r="S225">
        <f t="shared" si="114"/>
        <v>0</v>
      </c>
      <c r="T225">
        <f t="shared" si="115"/>
        <v>0</v>
      </c>
      <c r="U225">
        <f t="shared" si="116"/>
        <v>0</v>
      </c>
      <c r="V225">
        <f t="shared" si="117"/>
        <v>0</v>
      </c>
      <c r="W225">
        <f t="shared" si="118"/>
        <v>0</v>
      </c>
      <c r="X225">
        <f t="shared" si="119"/>
        <v>0</v>
      </c>
      <c r="Y225">
        <f t="shared" si="120"/>
        <v>0</v>
      </c>
      <c r="AA225">
        <v>38799519</v>
      </c>
      <c r="AB225">
        <f t="shared" si="121"/>
        <v>28541.67</v>
      </c>
      <c r="AC225">
        <f t="shared" si="122"/>
        <v>28541.67</v>
      </c>
      <c r="AD225">
        <f t="shared" si="123"/>
        <v>0</v>
      </c>
      <c r="AE225">
        <f t="shared" si="124"/>
        <v>0</v>
      </c>
      <c r="AF225">
        <f t="shared" si="125"/>
        <v>0</v>
      </c>
      <c r="AG225">
        <f t="shared" si="126"/>
        <v>0</v>
      </c>
      <c r="AH225">
        <f t="shared" si="127"/>
        <v>0</v>
      </c>
      <c r="AI225">
        <f t="shared" si="128"/>
        <v>0</v>
      </c>
      <c r="AJ225">
        <f t="shared" si="129"/>
        <v>0</v>
      </c>
      <c r="AK225">
        <v>28541.67</v>
      </c>
      <c r="AL225">
        <v>28541.67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70</v>
      </c>
      <c r="AU225">
        <v>10</v>
      </c>
      <c r="AV225">
        <v>1</v>
      </c>
      <c r="AW225">
        <v>1</v>
      </c>
      <c r="AZ225">
        <v>1</v>
      </c>
      <c r="BA225">
        <v>1</v>
      </c>
      <c r="BB225">
        <v>1</v>
      </c>
      <c r="BC225">
        <v>1</v>
      </c>
      <c r="BD225" t="s">
        <v>3</v>
      </c>
      <c r="BE225" t="s">
        <v>3</v>
      </c>
      <c r="BF225" t="s">
        <v>3</v>
      </c>
      <c r="BG225" t="s">
        <v>3</v>
      </c>
      <c r="BH225">
        <v>3</v>
      </c>
      <c r="BI225">
        <v>4</v>
      </c>
      <c r="BJ225" t="s">
        <v>3</v>
      </c>
      <c r="BM225">
        <v>0</v>
      </c>
      <c r="BN225">
        <v>0</v>
      </c>
      <c r="BO225" t="s">
        <v>3</v>
      </c>
      <c r="BP225">
        <v>0</v>
      </c>
      <c r="BQ225">
        <v>1</v>
      </c>
      <c r="BR225">
        <v>0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 t="s">
        <v>3</v>
      </c>
      <c r="BZ225">
        <v>70</v>
      </c>
      <c r="CA225">
        <v>10</v>
      </c>
      <c r="CE225">
        <v>0</v>
      </c>
      <c r="CF225">
        <v>0</v>
      </c>
      <c r="CG225">
        <v>0</v>
      </c>
      <c r="CM225">
        <v>0</v>
      </c>
      <c r="CN225" t="s">
        <v>3</v>
      </c>
      <c r="CO225">
        <v>0</v>
      </c>
      <c r="CP225">
        <f t="shared" si="130"/>
        <v>28541.67</v>
      </c>
      <c r="CQ225">
        <f t="shared" si="131"/>
        <v>28541.67</v>
      </c>
      <c r="CR225">
        <f t="shared" si="132"/>
        <v>0</v>
      </c>
      <c r="CS225">
        <f t="shared" si="133"/>
        <v>0</v>
      </c>
      <c r="CT225">
        <f t="shared" si="134"/>
        <v>0</v>
      </c>
      <c r="CU225">
        <f t="shared" si="135"/>
        <v>0</v>
      </c>
      <c r="CV225">
        <f t="shared" si="136"/>
        <v>0</v>
      </c>
      <c r="CW225">
        <f t="shared" si="137"/>
        <v>0</v>
      </c>
      <c r="CX225">
        <f t="shared" si="138"/>
        <v>0</v>
      </c>
      <c r="CY225">
        <f t="shared" si="139"/>
        <v>0</v>
      </c>
      <c r="CZ225">
        <f t="shared" si="140"/>
        <v>0</v>
      </c>
      <c r="DC225" t="s">
        <v>3</v>
      </c>
      <c r="DD225" t="s">
        <v>3</v>
      </c>
      <c r="DE225" t="s">
        <v>3</v>
      </c>
      <c r="DF225" t="s">
        <v>3</v>
      </c>
      <c r="DG225" t="s">
        <v>3</v>
      </c>
      <c r="DH225" t="s">
        <v>3</v>
      </c>
      <c r="DI225" t="s">
        <v>3</v>
      </c>
      <c r="DJ225" t="s">
        <v>3</v>
      </c>
      <c r="DK225" t="s">
        <v>3</v>
      </c>
      <c r="DL225" t="s">
        <v>3</v>
      </c>
      <c r="DM225" t="s">
        <v>3</v>
      </c>
      <c r="DN225">
        <v>0</v>
      </c>
      <c r="DO225">
        <v>0</v>
      </c>
      <c r="DP225">
        <v>1</v>
      </c>
      <c r="DQ225">
        <v>1</v>
      </c>
      <c r="DU225">
        <v>1010</v>
      </c>
      <c r="DV225" t="s">
        <v>198</v>
      </c>
      <c r="DW225" t="s">
        <v>198</v>
      </c>
      <c r="DX225">
        <v>1</v>
      </c>
      <c r="EE225">
        <v>38447819</v>
      </c>
      <c r="EF225">
        <v>1</v>
      </c>
      <c r="EG225" t="s">
        <v>23</v>
      </c>
      <c r="EH225">
        <v>0</v>
      </c>
      <c r="EI225" t="s">
        <v>3</v>
      </c>
      <c r="EJ225">
        <v>4</v>
      </c>
      <c r="EK225">
        <v>0</v>
      </c>
      <c r="EL225" t="s">
        <v>24</v>
      </c>
      <c r="EM225" t="s">
        <v>25</v>
      </c>
      <c r="EO225" t="s">
        <v>3</v>
      </c>
      <c r="EQ225">
        <v>0</v>
      </c>
      <c r="ER225">
        <v>28541.67</v>
      </c>
      <c r="ES225">
        <v>28541.67</v>
      </c>
      <c r="ET225">
        <v>0</v>
      </c>
      <c r="EU225">
        <v>0</v>
      </c>
      <c r="EV225">
        <v>0</v>
      </c>
      <c r="EW225">
        <v>0</v>
      </c>
      <c r="EX225">
        <v>0</v>
      </c>
      <c r="EZ225">
        <v>5</v>
      </c>
      <c r="FC225">
        <v>1</v>
      </c>
      <c r="FD225">
        <v>18</v>
      </c>
      <c r="FF225">
        <v>34250</v>
      </c>
      <c r="FQ225">
        <v>0</v>
      </c>
      <c r="FR225">
        <f t="shared" si="141"/>
        <v>0</v>
      </c>
      <c r="FS225">
        <v>0</v>
      </c>
      <c r="FX225">
        <v>70</v>
      </c>
      <c r="FY225">
        <v>10</v>
      </c>
      <c r="GA225" t="s">
        <v>245</v>
      </c>
      <c r="GD225">
        <v>0</v>
      </c>
      <c r="GF225">
        <v>44827932</v>
      </c>
      <c r="GG225">
        <v>2</v>
      </c>
      <c r="GH225">
        <v>3</v>
      </c>
      <c r="GI225">
        <v>-2</v>
      </c>
      <c r="GJ225">
        <v>0</v>
      </c>
      <c r="GK225">
        <f>ROUND(R225*(R12)/100,2)</f>
        <v>0</v>
      </c>
      <c r="GL225">
        <f t="shared" si="142"/>
        <v>0</v>
      </c>
      <c r="GM225">
        <f t="shared" si="143"/>
        <v>28541.67</v>
      </c>
      <c r="GN225">
        <f t="shared" si="144"/>
        <v>0</v>
      </c>
      <c r="GO225">
        <f t="shared" si="145"/>
        <v>0</v>
      </c>
      <c r="GP225">
        <f t="shared" si="146"/>
        <v>28541.67</v>
      </c>
      <c r="GR225">
        <v>1</v>
      </c>
      <c r="GS225">
        <v>1</v>
      </c>
      <c r="GT225">
        <v>0</v>
      </c>
      <c r="GU225" t="s">
        <v>3</v>
      </c>
      <c r="GV225">
        <f t="shared" si="147"/>
        <v>0</v>
      </c>
      <c r="GW225">
        <v>1</v>
      </c>
      <c r="GX225">
        <f t="shared" si="148"/>
        <v>0</v>
      </c>
      <c r="HA225">
        <v>0</v>
      </c>
      <c r="HB225">
        <v>0</v>
      </c>
      <c r="HC225">
        <f t="shared" si="149"/>
        <v>0</v>
      </c>
      <c r="HE225" t="s">
        <v>200</v>
      </c>
      <c r="HF225" t="s">
        <v>200</v>
      </c>
      <c r="IK225">
        <v>0</v>
      </c>
    </row>
    <row r="226" spans="1:245" x14ac:dyDescent="0.2">
      <c r="A226">
        <v>18</v>
      </c>
      <c r="B226">
        <v>1</v>
      </c>
      <c r="C226">
        <v>178</v>
      </c>
      <c r="E226" t="s">
        <v>246</v>
      </c>
      <c r="F226" t="s">
        <v>196</v>
      </c>
      <c r="G226" t="s">
        <v>247</v>
      </c>
      <c r="H226" t="s">
        <v>198</v>
      </c>
      <c r="I226">
        <f>I208*J226</f>
        <v>1</v>
      </c>
      <c r="J226">
        <v>0.38461538461538458</v>
      </c>
      <c r="O226">
        <f t="shared" si="110"/>
        <v>10416.67</v>
      </c>
      <c r="P226">
        <f t="shared" si="111"/>
        <v>10416.67</v>
      </c>
      <c r="Q226">
        <f t="shared" si="112"/>
        <v>0</v>
      </c>
      <c r="R226">
        <f t="shared" si="113"/>
        <v>0</v>
      </c>
      <c r="S226">
        <f t="shared" si="114"/>
        <v>0</v>
      </c>
      <c r="T226">
        <f t="shared" si="115"/>
        <v>0</v>
      </c>
      <c r="U226">
        <f t="shared" si="116"/>
        <v>0</v>
      </c>
      <c r="V226">
        <f t="shared" si="117"/>
        <v>0</v>
      </c>
      <c r="W226">
        <f t="shared" si="118"/>
        <v>0</v>
      </c>
      <c r="X226">
        <f t="shared" si="119"/>
        <v>0</v>
      </c>
      <c r="Y226">
        <f t="shared" si="120"/>
        <v>0</v>
      </c>
      <c r="AA226">
        <v>38799519</v>
      </c>
      <c r="AB226">
        <f t="shared" si="121"/>
        <v>10416.67</v>
      </c>
      <c r="AC226">
        <f t="shared" si="122"/>
        <v>10416.67</v>
      </c>
      <c r="AD226">
        <f t="shared" si="123"/>
        <v>0</v>
      </c>
      <c r="AE226">
        <f t="shared" si="124"/>
        <v>0</v>
      </c>
      <c r="AF226">
        <f t="shared" si="125"/>
        <v>0</v>
      </c>
      <c r="AG226">
        <f t="shared" si="126"/>
        <v>0</v>
      </c>
      <c r="AH226">
        <f t="shared" si="127"/>
        <v>0</v>
      </c>
      <c r="AI226">
        <f t="shared" si="128"/>
        <v>0</v>
      </c>
      <c r="AJ226">
        <f t="shared" si="129"/>
        <v>0</v>
      </c>
      <c r="AK226">
        <v>10416.67</v>
      </c>
      <c r="AL226">
        <v>10416.67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70</v>
      </c>
      <c r="AU226">
        <v>10</v>
      </c>
      <c r="AV226">
        <v>1</v>
      </c>
      <c r="AW226">
        <v>1</v>
      </c>
      <c r="AZ226">
        <v>1</v>
      </c>
      <c r="BA226">
        <v>1</v>
      </c>
      <c r="BB226">
        <v>1</v>
      </c>
      <c r="BC226">
        <v>1</v>
      </c>
      <c r="BD226" t="s">
        <v>3</v>
      </c>
      <c r="BE226" t="s">
        <v>3</v>
      </c>
      <c r="BF226" t="s">
        <v>3</v>
      </c>
      <c r="BG226" t="s">
        <v>3</v>
      </c>
      <c r="BH226">
        <v>3</v>
      </c>
      <c r="BI226">
        <v>4</v>
      </c>
      <c r="BJ226" t="s">
        <v>3</v>
      </c>
      <c r="BM226">
        <v>0</v>
      </c>
      <c r="BN226">
        <v>0</v>
      </c>
      <c r="BO226" t="s">
        <v>3</v>
      </c>
      <c r="BP226">
        <v>0</v>
      </c>
      <c r="BQ226">
        <v>1</v>
      </c>
      <c r="BR226">
        <v>0</v>
      </c>
      <c r="BS226">
        <v>1</v>
      </c>
      <c r="BT226">
        <v>1</v>
      </c>
      <c r="BU226">
        <v>1</v>
      </c>
      <c r="BV226">
        <v>1</v>
      </c>
      <c r="BW226">
        <v>1</v>
      </c>
      <c r="BX226">
        <v>1</v>
      </c>
      <c r="BY226" t="s">
        <v>3</v>
      </c>
      <c r="BZ226">
        <v>70</v>
      </c>
      <c r="CA226">
        <v>10</v>
      </c>
      <c r="CE226">
        <v>0</v>
      </c>
      <c r="CF226">
        <v>0</v>
      </c>
      <c r="CG226">
        <v>0</v>
      </c>
      <c r="CM226">
        <v>0</v>
      </c>
      <c r="CN226" t="s">
        <v>3</v>
      </c>
      <c r="CO226">
        <v>0</v>
      </c>
      <c r="CP226">
        <f t="shared" si="130"/>
        <v>10416.67</v>
      </c>
      <c r="CQ226">
        <f t="shared" si="131"/>
        <v>10416.67</v>
      </c>
      <c r="CR226">
        <f t="shared" si="132"/>
        <v>0</v>
      </c>
      <c r="CS226">
        <f t="shared" si="133"/>
        <v>0</v>
      </c>
      <c r="CT226">
        <f t="shared" si="134"/>
        <v>0</v>
      </c>
      <c r="CU226">
        <f t="shared" si="135"/>
        <v>0</v>
      </c>
      <c r="CV226">
        <f t="shared" si="136"/>
        <v>0</v>
      </c>
      <c r="CW226">
        <f t="shared" si="137"/>
        <v>0</v>
      </c>
      <c r="CX226">
        <f t="shared" si="138"/>
        <v>0</v>
      </c>
      <c r="CY226">
        <f t="shared" si="139"/>
        <v>0</v>
      </c>
      <c r="CZ226">
        <f t="shared" si="140"/>
        <v>0</v>
      </c>
      <c r="DC226" t="s">
        <v>3</v>
      </c>
      <c r="DD226" t="s">
        <v>3</v>
      </c>
      <c r="DE226" t="s">
        <v>3</v>
      </c>
      <c r="DF226" t="s">
        <v>3</v>
      </c>
      <c r="DG226" t="s">
        <v>3</v>
      </c>
      <c r="DH226" t="s">
        <v>3</v>
      </c>
      <c r="DI226" t="s">
        <v>3</v>
      </c>
      <c r="DJ226" t="s">
        <v>3</v>
      </c>
      <c r="DK226" t="s">
        <v>3</v>
      </c>
      <c r="DL226" t="s">
        <v>3</v>
      </c>
      <c r="DM226" t="s">
        <v>3</v>
      </c>
      <c r="DN226">
        <v>0</v>
      </c>
      <c r="DO226">
        <v>0</v>
      </c>
      <c r="DP226">
        <v>1</v>
      </c>
      <c r="DQ226">
        <v>1</v>
      </c>
      <c r="DU226">
        <v>1010</v>
      </c>
      <c r="DV226" t="s">
        <v>198</v>
      </c>
      <c r="DW226" t="s">
        <v>198</v>
      </c>
      <c r="DX226">
        <v>1</v>
      </c>
      <c r="EE226">
        <v>38447819</v>
      </c>
      <c r="EF226">
        <v>1</v>
      </c>
      <c r="EG226" t="s">
        <v>23</v>
      </c>
      <c r="EH226">
        <v>0</v>
      </c>
      <c r="EI226" t="s">
        <v>3</v>
      </c>
      <c r="EJ226">
        <v>4</v>
      </c>
      <c r="EK226">
        <v>0</v>
      </c>
      <c r="EL226" t="s">
        <v>24</v>
      </c>
      <c r="EM226" t="s">
        <v>25</v>
      </c>
      <c r="EO226" t="s">
        <v>3</v>
      </c>
      <c r="EQ226">
        <v>0</v>
      </c>
      <c r="ER226">
        <v>10416.67</v>
      </c>
      <c r="ES226">
        <v>10416.67</v>
      </c>
      <c r="ET226">
        <v>0</v>
      </c>
      <c r="EU226">
        <v>0</v>
      </c>
      <c r="EV226">
        <v>0</v>
      </c>
      <c r="EW226">
        <v>0</v>
      </c>
      <c r="EX226">
        <v>0</v>
      </c>
      <c r="EZ226">
        <v>5</v>
      </c>
      <c r="FC226">
        <v>1</v>
      </c>
      <c r="FD226">
        <v>18</v>
      </c>
      <c r="FF226">
        <v>12500</v>
      </c>
      <c r="FQ226">
        <v>0</v>
      </c>
      <c r="FR226">
        <f t="shared" si="141"/>
        <v>0</v>
      </c>
      <c r="FS226">
        <v>0</v>
      </c>
      <c r="FX226">
        <v>70</v>
      </c>
      <c r="FY226">
        <v>10</v>
      </c>
      <c r="GA226" t="s">
        <v>248</v>
      </c>
      <c r="GD226">
        <v>0</v>
      </c>
      <c r="GF226">
        <v>1271355772</v>
      </c>
      <c r="GG226">
        <v>2</v>
      </c>
      <c r="GH226">
        <v>3</v>
      </c>
      <c r="GI226">
        <v>-2</v>
      </c>
      <c r="GJ226">
        <v>0</v>
      </c>
      <c r="GK226">
        <f>ROUND(R226*(R12)/100,2)</f>
        <v>0</v>
      </c>
      <c r="GL226">
        <f t="shared" si="142"/>
        <v>0</v>
      </c>
      <c r="GM226">
        <f t="shared" si="143"/>
        <v>10416.67</v>
      </c>
      <c r="GN226">
        <f t="shared" si="144"/>
        <v>0</v>
      </c>
      <c r="GO226">
        <f t="shared" si="145"/>
        <v>0</v>
      </c>
      <c r="GP226">
        <f t="shared" si="146"/>
        <v>10416.67</v>
      </c>
      <c r="GR226">
        <v>1</v>
      </c>
      <c r="GS226">
        <v>1</v>
      </c>
      <c r="GT226">
        <v>0</v>
      </c>
      <c r="GU226" t="s">
        <v>3</v>
      </c>
      <c r="GV226">
        <f t="shared" si="147"/>
        <v>0</v>
      </c>
      <c r="GW226">
        <v>1</v>
      </c>
      <c r="GX226">
        <f t="shared" si="148"/>
        <v>0</v>
      </c>
      <c r="HA226">
        <v>0</v>
      </c>
      <c r="HB226">
        <v>0</v>
      </c>
      <c r="HC226">
        <f t="shared" si="149"/>
        <v>0</v>
      </c>
      <c r="HE226" t="s">
        <v>200</v>
      </c>
      <c r="HF226" t="s">
        <v>200</v>
      </c>
      <c r="IK226">
        <v>0</v>
      </c>
    </row>
    <row r="227" spans="1:245" x14ac:dyDescent="0.2">
      <c r="A227">
        <v>18</v>
      </c>
      <c r="B227">
        <v>1</v>
      </c>
      <c r="C227">
        <v>179</v>
      </c>
      <c r="E227" t="s">
        <v>249</v>
      </c>
      <c r="F227" t="s">
        <v>196</v>
      </c>
      <c r="G227" t="s">
        <v>250</v>
      </c>
      <c r="H227" t="s">
        <v>198</v>
      </c>
      <c r="I227">
        <f>I208*J227</f>
        <v>1</v>
      </c>
      <c r="J227">
        <v>0.38461538461538458</v>
      </c>
      <c r="O227">
        <f t="shared" si="110"/>
        <v>10416.67</v>
      </c>
      <c r="P227">
        <f t="shared" si="111"/>
        <v>10416.67</v>
      </c>
      <c r="Q227">
        <f t="shared" si="112"/>
        <v>0</v>
      </c>
      <c r="R227">
        <f t="shared" si="113"/>
        <v>0</v>
      </c>
      <c r="S227">
        <f t="shared" si="114"/>
        <v>0</v>
      </c>
      <c r="T227">
        <f t="shared" si="115"/>
        <v>0</v>
      </c>
      <c r="U227">
        <f t="shared" si="116"/>
        <v>0</v>
      </c>
      <c r="V227">
        <f t="shared" si="117"/>
        <v>0</v>
      </c>
      <c r="W227">
        <f t="shared" si="118"/>
        <v>0</v>
      </c>
      <c r="X227">
        <f t="shared" si="119"/>
        <v>0</v>
      </c>
      <c r="Y227">
        <f t="shared" si="120"/>
        <v>0</v>
      </c>
      <c r="AA227">
        <v>38799519</v>
      </c>
      <c r="AB227">
        <f t="shared" si="121"/>
        <v>10416.67</v>
      </c>
      <c r="AC227">
        <f t="shared" si="122"/>
        <v>10416.67</v>
      </c>
      <c r="AD227">
        <f t="shared" si="123"/>
        <v>0</v>
      </c>
      <c r="AE227">
        <f t="shared" si="124"/>
        <v>0</v>
      </c>
      <c r="AF227">
        <f t="shared" si="125"/>
        <v>0</v>
      </c>
      <c r="AG227">
        <f t="shared" si="126"/>
        <v>0</v>
      </c>
      <c r="AH227">
        <f t="shared" si="127"/>
        <v>0</v>
      </c>
      <c r="AI227">
        <f t="shared" si="128"/>
        <v>0</v>
      </c>
      <c r="AJ227">
        <f t="shared" si="129"/>
        <v>0</v>
      </c>
      <c r="AK227">
        <v>10416.67</v>
      </c>
      <c r="AL227">
        <v>10416.67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70</v>
      </c>
      <c r="AU227">
        <v>10</v>
      </c>
      <c r="AV227">
        <v>1</v>
      </c>
      <c r="AW227">
        <v>1</v>
      </c>
      <c r="AZ227">
        <v>1</v>
      </c>
      <c r="BA227">
        <v>1</v>
      </c>
      <c r="BB227">
        <v>1</v>
      </c>
      <c r="BC227">
        <v>1</v>
      </c>
      <c r="BD227" t="s">
        <v>3</v>
      </c>
      <c r="BE227" t="s">
        <v>3</v>
      </c>
      <c r="BF227" t="s">
        <v>3</v>
      </c>
      <c r="BG227" t="s">
        <v>3</v>
      </c>
      <c r="BH227">
        <v>3</v>
      </c>
      <c r="BI227">
        <v>4</v>
      </c>
      <c r="BJ227" t="s">
        <v>3</v>
      </c>
      <c r="BM227">
        <v>0</v>
      </c>
      <c r="BN227">
        <v>0</v>
      </c>
      <c r="BO227" t="s">
        <v>3</v>
      </c>
      <c r="BP227">
        <v>0</v>
      </c>
      <c r="BQ227">
        <v>1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1</v>
      </c>
      <c r="BX227">
        <v>1</v>
      </c>
      <c r="BY227" t="s">
        <v>3</v>
      </c>
      <c r="BZ227">
        <v>70</v>
      </c>
      <c r="CA227">
        <v>10</v>
      </c>
      <c r="CE227">
        <v>0</v>
      </c>
      <c r="CF227">
        <v>0</v>
      </c>
      <c r="CG227">
        <v>0</v>
      </c>
      <c r="CM227">
        <v>0</v>
      </c>
      <c r="CN227" t="s">
        <v>3</v>
      </c>
      <c r="CO227">
        <v>0</v>
      </c>
      <c r="CP227">
        <f t="shared" si="130"/>
        <v>10416.67</v>
      </c>
      <c r="CQ227">
        <f t="shared" si="131"/>
        <v>10416.67</v>
      </c>
      <c r="CR227">
        <f t="shared" si="132"/>
        <v>0</v>
      </c>
      <c r="CS227">
        <f t="shared" si="133"/>
        <v>0</v>
      </c>
      <c r="CT227">
        <f t="shared" si="134"/>
        <v>0</v>
      </c>
      <c r="CU227">
        <f t="shared" si="135"/>
        <v>0</v>
      </c>
      <c r="CV227">
        <f t="shared" si="136"/>
        <v>0</v>
      </c>
      <c r="CW227">
        <f t="shared" si="137"/>
        <v>0</v>
      </c>
      <c r="CX227">
        <f t="shared" si="138"/>
        <v>0</v>
      </c>
      <c r="CY227">
        <f t="shared" si="139"/>
        <v>0</v>
      </c>
      <c r="CZ227">
        <f t="shared" si="140"/>
        <v>0</v>
      </c>
      <c r="DC227" t="s">
        <v>3</v>
      </c>
      <c r="DD227" t="s">
        <v>3</v>
      </c>
      <c r="DE227" t="s">
        <v>3</v>
      </c>
      <c r="DF227" t="s">
        <v>3</v>
      </c>
      <c r="DG227" t="s">
        <v>3</v>
      </c>
      <c r="DH227" t="s">
        <v>3</v>
      </c>
      <c r="DI227" t="s">
        <v>3</v>
      </c>
      <c r="DJ227" t="s">
        <v>3</v>
      </c>
      <c r="DK227" t="s">
        <v>3</v>
      </c>
      <c r="DL227" t="s">
        <v>3</v>
      </c>
      <c r="DM227" t="s">
        <v>3</v>
      </c>
      <c r="DN227">
        <v>0</v>
      </c>
      <c r="DO227">
        <v>0</v>
      </c>
      <c r="DP227">
        <v>1</v>
      </c>
      <c r="DQ227">
        <v>1</v>
      </c>
      <c r="DU227">
        <v>1010</v>
      </c>
      <c r="DV227" t="s">
        <v>198</v>
      </c>
      <c r="DW227" t="s">
        <v>198</v>
      </c>
      <c r="DX227">
        <v>1</v>
      </c>
      <c r="EE227">
        <v>38447819</v>
      </c>
      <c r="EF227">
        <v>1</v>
      </c>
      <c r="EG227" t="s">
        <v>23</v>
      </c>
      <c r="EH227">
        <v>0</v>
      </c>
      <c r="EI227" t="s">
        <v>3</v>
      </c>
      <c r="EJ227">
        <v>4</v>
      </c>
      <c r="EK227">
        <v>0</v>
      </c>
      <c r="EL227" t="s">
        <v>24</v>
      </c>
      <c r="EM227" t="s">
        <v>25</v>
      </c>
      <c r="EO227" t="s">
        <v>3</v>
      </c>
      <c r="EQ227">
        <v>0</v>
      </c>
      <c r="ER227">
        <v>10416.67</v>
      </c>
      <c r="ES227">
        <v>10416.67</v>
      </c>
      <c r="ET227">
        <v>0</v>
      </c>
      <c r="EU227">
        <v>0</v>
      </c>
      <c r="EV227">
        <v>0</v>
      </c>
      <c r="EW227">
        <v>0</v>
      </c>
      <c r="EX227">
        <v>0</v>
      </c>
      <c r="EZ227">
        <v>5</v>
      </c>
      <c r="FC227">
        <v>1</v>
      </c>
      <c r="FD227">
        <v>18</v>
      </c>
      <c r="FF227">
        <v>12500</v>
      </c>
      <c r="FQ227">
        <v>0</v>
      </c>
      <c r="FR227">
        <f t="shared" si="141"/>
        <v>0</v>
      </c>
      <c r="FS227">
        <v>0</v>
      </c>
      <c r="FX227">
        <v>70</v>
      </c>
      <c r="FY227">
        <v>10</v>
      </c>
      <c r="GA227" t="s">
        <v>248</v>
      </c>
      <c r="GD227">
        <v>0</v>
      </c>
      <c r="GF227">
        <v>82112519</v>
      </c>
      <c r="GG227">
        <v>2</v>
      </c>
      <c r="GH227">
        <v>3</v>
      </c>
      <c r="GI227">
        <v>-2</v>
      </c>
      <c r="GJ227">
        <v>0</v>
      </c>
      <c r="GK227">
        <f>ROUND(R227*(R12)/100,2)</f>
        <v>0</v>
      </c>
      <c r="GL227">
        <f t="shared" si="142"/>
        <v>0</v>
      </c>
      <c r="GM227">
        <f t="shared" si="143"/>
        <v>10416.67</v>
      </c>
      <c r="GN227">
        <f t="shared" si="144"/>
        <v>0</v>
      </c>
      <c r="GO227">
        <f t="shared" si="145"/>
        <v>0</v>
      </c>
      <c r="GP227">
        <f t="shared" si="146"/>
        <v>10416.67</v>
      </c>
      <c r="GR227">
        <v>1</v>
      </c>
      <c r="GS227">
        <v>1</v>
      </c>
      <c r="GT227">
        <v>0</v>
      </c>
      <c r="GU227" t="s">
        <v>3</v>
      </c>
      <c r="GV227">
        <f t="shared" si="147"/>
        <v>0</v>
      </c>
      <c r="GW227">
        <v>1</v>
      </c>
      <c r="GX227">
        <f t="shared" si="148"/>
        <v>0</v>
      </c>
      <c r="HA227">
        <v>0</v>
      </c>
      <c r="HB227">
        <v>0</v>
      </c>
      <c r="HC227">
        <f t="shared" si="149"/>
        <v>0</v>
      </c>
      <c r="HE227" t="s">
        <v>200</v>
      </c>
      <c r="HF227" t="s">
        <v>200</v>
      </c>
      <c r="IK227">
        <v>0</v>
      </c>
    </row>
    <row r="228" spans="1:245" x14ac:dyDescent="0.2">
      <c r="A228">
        <v>18</v>
      </c>
      <c r="B228">
        <v>1</v>
      </c>
      <c r="C228">
        <v>180</v>
      </c>
      <c r="E228" t="s">
        <v>251</v>
      </c>
      <c r="F228" t="s">
        <v>196</v>
      </c>
      <c r="G228" t="s">
        <v>252</v>
      </c>
      <c r="H228" t="s">
        <v>198</v>
      </c>
      <c r="I228">
        <f>I208*J228</f>
        <v>2</v>
      </c>
      <c r="J228">
        <v>0.76923076923076916</v>
      </c>
      <c r="O228">
        <f t="shared" si="110"/>
        <v>22916.66</v>
      </c>
      <c r="P228">
        <f t="shared" si="111"/>
        <v>22916.66</v>
      </c>
      <c r="Q228">
        <f t="shared" si="112"/>
        <v>0</v>
      </c>
      <c r="R228">
        <f t="shared" si="113"/>
        <v>0</v>
      </c>
      <c r="S228">
        <f t="shared" si="114"/>
        <v>0</v>
      </c>
      <c r="T228">
        <f t="shared" si="115"/>
        <v>0</v>
      </c>
      <c r="U228">
        <f t="shared" si="116"/>
        <v>0</v>
      </c>
      <c r="V228">
        <f t="shared" si="117"/>
        <v>0</v>
      </c>
      <c r="W228">
        <f t="shared" si="118"/>
        <v>0</v>
      </c>
      <c r="X228">
        <f t="shared" si="119"/>
        <v>0</v>
      </c>
      <c r="Y228">
        <f t="shared" si="120"/>
        <v>0</v>
      </c>
      <c r="AA228">
        <v>38799519</v>
      </c>
      <c r="AB228">
        <f t="shared" si="121"/>
        <v>11458.33</v>
      </c>
      <c r="AC228">
        <f t="shared" si="122"/>
        <v>11458.33</v>
      </c>
      <c r="AD228">
        <f t="shared" si="123"/>
        <v>0</v>
      </c>
      <c r="AE228">
        <f t="shared" si="124"/>
        <v>0</v>
      </c>
      <c r="AF228">
        <f t="shared" si="125"/>
        <v>0</v>
      </c>
      <c r="AG228">
        <f t="shared" si="126"/>
        <v>0</v>
      </c>
      <c r="AH228">
        <f t="shared" si="127"/>
        <v>0</v>
      </c>
      <c r="AI228">
        <f t="shared" si="128"/>
        <v>0</v>
      </c>
      <c r="AJ228">
        <f t="shared" si="129"/>
        <v>0</v>
      </c>
      <c r="AK228">
        <v>11458.33</v>
      </c>
      <c r="AL228">
        <v>11458.33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70</v>
      </c>
      <c r="AU228">
        <v>10</v>
      </c>
      <c r="AV228">
        <v>1</v>
      </c>
      <c r="AW228">
        <v>1</v>
      </c>
      <c r="AZ228">
        <v>1</v>
      </c>
      <c r="BA228">
        <v>1</v>
      </c>
      <c r="BB228">
        <v>1</v>
      </c>
      <c r="BC228">
        <v>1</v>
      </c>
      <c r="BD228" t="s">
        <v>3</v>
      </c>
      <c r="BE228" t="s">
        <v>3</v>
      </c>
      <c r="BF228" t="s">
        <v>3</v>
      </c>
      <c r="BG228" t="s">
        <v>3</v>
      </c>
      <c r="BH228">
        <v>3</v>
      </c>
      <c r="BI228">
        <v>4</v>
      </c>
      <c r="BJ228" t="s">
        <v>3</v>
      </c>
      <c r="BM228">
        <v>0</v>
      </c>
      <c r="BN228">
        <v>0</v>
      </c>
      <c r="BO228" t="s">
        <v>3</v>
      </c>
      <c r="BP228">
        <v>0</v>
      </c>
      <c r="BQ228">
        <v>1</v>
      </c>
      <c r="BR228">
        <v>0</v>
      </c>
      <c r="BS228">
        <v>1</v>
      </c>
      <c r="BT228">
        <v>1</v>
      </c>
      <c r="BU228">
        <v>1</v>
      </c>
      <c r="BV228">
        <v>1</v>
      </c>
      <c r="BW228">
        <v>1</v>
      </c>
      <c r="BX228">
        <v>1</v>
      </c>
      <c r="BY228" t="s">
        <v>3</v>
      </c>
      <c r="BZ228">
        <v>70</v>
      </c>
      <c r="CA228">
        <v>10</v>
      </c>
      <c r="CE228">
        <v>0</v>
      </c>
      <c r="CF228">
        <v>0</v>
      </c>
      <c r="CG228">
        <v>0</v>
      </c>
      <c r="CM228">
        <v>0</v>
      </c>
      <c r="CN228" t="s">
        <v>3</v>
      </c>
      <c r="CO228">
        <v>0</v>
      </c>
      <c r="CP228">
        <f t="shared" si="130"/>
        <v>22916.66</v>
      </c>
      <c r="CQ228">
        <f t="shared" si="131"/>
        <v>11458.33</v>
      </c>
      <c r="CR228">
        <f t="shared" si="132"/>
        <v>0</v>
      </c>
      <c r="CS228">
        <f t="shared" si="133"/>
        <v>0</v>
      </c>
      <c r="CT228">
        <f t="shared" si="134"/>
        <v>0</v>
      </c>
      <c r="CU228">
        <f t="shared" si="135"/>
        <v>0</v>
      </c>
      <c r="CV228">
        <f t="shared" si="136"/>
        <v>0</v>
      </c>
      <c r="CW228">
        <f t="shared" si="137"/>
        <v>0</v>
      </c>
      <c r="CX228">
        <f t="shared" si="138"/>
        <v>0</v>
      </c>
      <c r="CY228">
        <f t="shared" si="139"/>
        <v>0</v>
      </c>
      <c r="CZ228">
        <f t="shared" si="140"/>
        <v>0</v>
      </c>
      <c r="DC228" t="s">
        <v>3</v>
      </c>
      <c r="DD228" t="s">
        <v>3</v>
      </c>
      <c r="DE228" t="s">
        <v>3</v>
      </c>
      <c r="DF228" t="s">
        <v>3</v>
      </c>
      <c r="DG228" t="s">
        <v>3</v>
      </c>
      <c r="DH228" t="s">
        <v>3</v>
      </c>
      <c r="DI228" t="s">
        <v>3</v>
      </c>
      <c r="DJ228" t="s">
        <v>3</v>
      </c>
      <c r="DK228" t="s">
        <v>3</v>
      </c>
      <c r="DL228" t="s">
        <v>3</v>
      </c>
      <c r="DM228" t="s">
        <v>3</v>
      </c>
      <c r="DN228">
        <v>0</v>
      </c>
      <c r="DO228">
        <v>0</v>
      </c>
      <c r="DP228">
        <v>1</v>
      </c>
      <c r="DQ228">
        <v>1</v>
      </c>
      <c r="DU228">
        <v>1010</v>
      </c>
      <c r="DV228" t="s">
        <v>198</v>
      </c>
      <c r="DW228" t="s">
        <v>198</v>
      </c>
      <c r="DX228">
        <v>1</v>
      </c>
      <c r="EE228">
        <v>38447819</v>
      </c>
      <c r="EF228">
        <v>1</v>
      </c>
      <c r="EG228" t="s">
        <v>23</v>
      </c>
      <c r="EH228">
        <v>0</v>
      </c>
      <c r="EI228" t="s">
        <v>3</v>
      </c>
      <c r="EJ228">
        <v>4</v>
      </c>
      <c r="EK228">
        <v>0</v>
      </c>
      <c r="EL228" t="s">
        <v>24</v>
      </c>
      <c r="EM228" t="s">
        <v>25</v>
      </c>
      <c r="EO228" t="s">
        <v>3</v>
      </c>
      <c r="EQ228">
        <v>0</v>
      </c>
      <c r="ER228">
        <v>11458.33</v>
      </c>
      <c r="ES228">
        <v>11458.33</v>
      </c>
      <c r="ET228">
        <v>0</v>
      </c>
      <c r="EU228">
        <v>0</v>
      </c>
      <c r="EV228">
        <v>0</v>
      </c>
      <c r="EW228">
        <v>0</v>
      </c>
      <c r="EX228">
        <v>0</v>
      </c>
      <c r="EZ228">
        <v>5</v>
      </c>
      <c r="FC228">
        <v>1</v>
      </c>
      <c r="FD228">
        <v>18</v>
      </c>
      <c r="FF228">
        <v>13750</v>
      </c>
      <c r="FQ228">
        <v>0</v>
      </c>
      <c r="FR228">
        <f t="shared" si="141"/>
        <v>0</v>
      </c>
      <c r="FS228">
        <v>0</v>
      </c>
      <c r="FX228">
        <v>70</v>
      </c>
      <c r="FY228">
        <v>10</v>
      </c>
      <c r="GA228" t="s">
        <v>253</v>
      </c>
      <c r="GD228">
        <v>0</v>
      </c>
      <c r="GF228">
        <v>2137368623</v>
      </c>
      <c r="GG228">
        <v>2</v>
      </c>
      <c r="GH228">
        <v>3</v>
      </c>
      <c r="GI228">
        <v>-2</v>
      </c>
      <c r="GJ228">
        <v>0</v>
      </c>
      <c r="GK228">
        <f>ROUND(R228*(R12)/100,2)</f>
        <v>0</v>
      </c>
      <c r="GL228">
        <f t="shared" si="142"/>
        <v>0</v>
      </c>
      <c r="GM228">
        <f t="shared" si="143"/>
        <v>22916.66</v>
      </c>
      <c r="GN228">
        <f t="shared" si="144"/>
        <v>0</v>
      </c>
      <c r="GO228">
        <f t="shared" si="145"/>
        <v>0</v>
      </c>
      <c r="GP228">
        <f t="shared" si="146"/>
        <v>22916.66</v>
      </c>
      <c r="GR228">
        <v>1</v>
      </c>
      <c r="GS228">
        <v>1</v>
      </c>
      <c r="GT228">
        <v>0</v>
      </c>
      <c r="GU228" t="s">
        <v>3</v>
      </c>
      <c r="GV228">
        <f t="shared" si="147"/>
        <v>0</v>
      </c>
      <c r="GW228">
        <v>1</v>
      </c>
      <c r="GX228">
        <f t="shared" si="148"/>
        <v>0</v>
      </c>
      <c r="HA228">
        <v>0</v>
      </c>
      <c r="HB228">
        <v>0</v>
      </c>
      <c r="HC228">
        <f t="shared" si="149"/>
        <v>0</v>
      </c>
      <c r="HE228" t="s">
        <v>200</v>
      </c>
      <c r="HF228" t="s">
        <v>200</v>
      </c>
      <c r="IK228">
        <v>0</v>
      </c>
    </row>
    <row r="230" spans="1:245" x14ac:dyDescent="0.2">
      <c r="A230" s="2">
        <v>51</v>
      </c>
      <c r="B230" s="2">
        <f>B195</f>
        <v>1</v>
      </c>
      <c r="C230" s="2">
        <f>A195</f>
        <v>5</v>
      </c>
      <c r="D230" s="2">
        <f>ROW(A195)</f>
        <v>195</v>
      </c>
      <c r="E230" s="2"/>
      <c r="F230" s="2" t="str">
        <f>IF(F195&lt;&gt;"",F195,"")</f>
        <v>Новый подраздел</v>
      </c>
      <c r="G230" s="2" t="str">
        <f>IF(G195&lt;&gt;"",G195,"")</f>
        <v>Строительные работы</v>
      </c>
      <c r="H230" s="2">
        <v>0</v>
      </c>
      <c r="I230" s="2"/>
      <c r="J230" s="2"/>
      <c r="K230" s="2"/>
      <c r="L230" s="2"/>
      <c r="M230" s="2"/>
      <c r="N230" s="2"/>
      <c r="O230" s="2">
        <f t="shared" ref="O230:T230" si="150">ROUND(AB230,2)</f>
        <v>1604910.61</v>
      </c>
      <c r="P230" s="2">
        <f t="shared" si="150"/>
        <v>1271603.55</v>
      </c>
      <c r="Q230" s="2">
        <f t="shared" si="150"/>
        <v>91194.26</v>
      </c>
      <c r="R230" s="2">
        <f t="shared" si="150"/>
        <v>53026.68</v>
      </c>
      <c r="S230" s="2">
        <f t="shared" si="150"/>
        <v>242112.8</v>
      </c>
      <c r="T230" s="2">
        <f t="shared" si="150"/>
        <v>0</v>
      </c>
      <c r="U230" s="2">
        <f>AH230</f>
        <v>1082.6383500000002</v>
      </c>
      <c r="V230" s="2">
        <f>AI230</f>
        <v>0</v>
      </c>
      <c r="W230" s="2">
        <f>ROUND(AJ230,2)</f>
        <v>0</v>
      </c>
      <c r="X230" s="2">
        <f>ROUND(AK230,2)</f>
        <v>169478.97</v>
      </c>
      <c r="Y230" s="2">
        <f>ROUND(AL230,2)</f>
        <v>24211.3</v>
      </c>
      <c r="Z230" s="2"/>
      <c r="AA230" s="2"/>
      <c r="AB230" s="2">
        <f>ROUND(SUMIF(AA199:AA228,"=38799519",O199:O228),2)</f>
        <v>1604910.61</v>
      </c>
      <c r="AC230" s="2">
        <f>ROUND(SUMIF(AA199:AA228,"=38799519",P199:P228),2)</f>
        <v>1271603.55</v>
      </c>
      <c r="AD230" s="2">
        <f>ROUND(SUMIF(AA199:AA228,"=38799519",Q199:Q228),2)</f>
        <v>91194.26</v>
      </c>
      <c r="AE230" s="2">
        <f>ROUND(SUMIF(AA199:AA228,"=38799519",R199:R228),2)</f>
        <v>53026.68</v>
      </c>
      <c r="AF230" s="2">
        <f>ROUND(SUMIF(AA199:AA228,"=38799519",S199:S228),2)</f>
        <v>242112.8</v>
      </c>
      <c r="AG230" s="2">
        <f>ROUND(SUMIF(AA199:AA228,"=38799519",T199:T228),2)</f>
        <v>0</v>
      </c>
      <c r="AH230" s="2">
        <f>SUMIF(AA199:AA228,"=38799519",U199:U228)</f>
        <v>1082.6383500000002</v>
      </c>
      <c r="AI230" s="2">
        <f>SUMIF(AA199:AA228,"=38799519",V199:V228)</f>
        <v>0</v>
      </c>
      <c r="AJ230" s="2">
        <f>ROUND(SUMIF(AA199:AA228,"=38799519",W199:W228),2)</f>
        <v>0</v>
      </c>
      <c r="AK230" s="2">
        <f>ROUND(SUMIF(AA199:AA228,"=38799519",X199:X228),2)</f>
        <v>169478.97</v>
      </c>
      <c r="AL230" s="2">
        <f>ROUND(SUMIF(AA199:AA228,"=38799519",Y199:Y228),2)</f>
        <v>24211.3</v>
      </c>
      <c r="AM230" s="2"/>
      <c r="AN230" s="2"/>
      <c r="AO230" s="2">
        <f t="shared" ref="AO230:BD230" si="151">ROUND(BX230,2)</f>
        <v>0</v>
      </c>
      <c r="AP230" s="2">
        <f t="shared" si="151"/>
        <v>0</v>
      </c>
      <c r="AQ230" s="2">
        <f t="shared" si="151"/>
        <v>0</v>
      </c>
      <c r="AR230" s="2">
        <f t="shared" si="151"/>
        <v>1855869.7</v>
      </c>
      <c r="AS230" s="2">
        <f t="shared" si="151"/>
        <v>0</v>
      </c>
      <c r="AT230" s="2">
        <f t="shared" si="151"/>
        <v>0</v>
      </c>
      <c r="AU230" s="2">
        <f t="shared" si="151"/>
        <v>1855869.7</v>
      </c>
      <c r="AV230" s="2">
        <f t="shared" si="151"/>
        <v>1271603.55</v>
      </c>
      <c r="AW230" s="2">
        <f t="shared" si="151"/>
        <v>1271603.55</v>
      </c>
      <c r="AX230" s="2">
        <f t="shared" si="151"/>
        <v>0</v>
      </c>
      <c r="AY230" s="2">
        <f t="shared" si="151"/>
        <v>1271603.55</v>
      </c>
      <c r="AZ230" s="2">
        <f t="shared" si="151"/>
        <v>0</v>
      </c>
      <c r="BA230" s="2">
        <f t="shared" si="151"/>
        <v>0</v>
      </c>
      <c r="BB230" s="2">
        <f t="shared" si="151"/>
        <v>0</v>
      </c>
      <c r="BC230" s="2">
        <f t="shared" si="151"/>
        <v>0</v>
      </c>
      <c r="BD230" s="2">
        <f t="shared" si="151"/>
        <v>0</v>
      </c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>
        <f>ROUND(SUMIF(AA199:AA228,"=38799519",FQ199:FQ228),2)</f>
        <v>0</v>
      </c>
      <c r="BY230" s="2">
        <f>ROUND(SUMIF(AA199:AA228,"=38799519",FR199:FR228),2)</f>
        <v>0</v>
      </c>
      <c r="BZ230" s="2">
        <f>ROUND(SUMIF(AA199:AA228,"=38799519",GL199:GL228),2)</f>
        <v>0</v>
      </c>
      <c r="CA230" s="2">
        <f>ROUND(SUMIF(AA199:AA228,"=38799519",GM199:GM228),2)</f>
        <v>1855869.7</v>
      </c>
      <c r="CB230" s="2">
        <f>ROUND(SUMIF(AA199:AA228,"=38799519",GN199:GN228),2)</f>
        <v>0</v>
      </c>
      <c r="CC230" s="2">
        <f>ROUND(SUMIF(AA199:AA228,"=38799519",GO199:GO228),2)</f>
        <v>0</v>
      </c>
      <c r="CD230" s="2">
        <f>ROUND(SUMIF(AA199:AA228,"=38799519",GP199:GP228),2)</f>
        <v>1855869.7</v>
      </c>
      <c r="CE230" s="2">
        <f>AC230-BX230</f>
        <v>1271603.55</v>
      </c>
      <c r="CF230" s="2">
        <f>AC230-BY230</f>
        <v>1271603.55</v>
      </c>
      <c r="CG230" s="2">
        <f>BX230-BZ230</f>
        <v>0</v>
      </c>
      <c r="CH230" s="2">
        <f>AC230-BX230-BY230+BZ230</f>
        <v>1271603.55</v>
      </c>
      <c r="CI230" s="2">
        <f>BY230-BZ230</f>
        <v>0</v>
      </c>
      <c r="CJ230" s="2">
        <f>ROUND(SUMIF(AA199:AA228,"=38799519",GX199:GX228),2)</f>
        <v>0</v>
      </c>
      <c r="CK230" s="2">
        <f>ROUND(SUMIF(AA199:AA228,"=38799519",GY199:GY228),2)</f>
        <v>0</v>
      </c>
      <c r="CL230" s="2">
        <f>ROUND(SUMIF(AA199:AA228,"=38799519",GZ199:GZ228),2)</f>
        <v>0</v>
      </c>
      <c r="CM230" s="2">
        <f>ROUND(SUMIF(AA199:AA228,"=38799519",HD199:HD228),2)</f>
        <v>0</v>
      </c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>
        <v>0</v>
      </c>
    </row>
    <row r="232" spans="1:245" x14ac:dyDescent="0.2">
      <c r="A232" s="4">
        <v>50</v>
      </c>
      <c r="B232" s="4">
        <v>0</v>
      </c>
      <c r="C232" s="4">
        <v>0</v>
      </c>
      <c r="D232" s="4">
        <v>1</v>
      </c>
      <c r="E232" s="4">
        <v>201</v>
      </c>
      <c r="F232" s="4">
        <f>ROUND(Source!O230,O232)</f>
        <v>1604910.61</v>
      </c>
      <c r="G232" s="4" t="s">
        <v>50</v>
      </c>
      <c r="H232" s="4" t="s">
        <v>51</v>
      </c>
      <c r="I232" s="4"/>
      <c r="J232" s="4"/>
      <c r="K232" s="4">
        <v>201</v>
      </c>
      <c r="L232" s="4">
        <v>1</v>
      </c>
      <c r="M232" s="4">
        <v>3</v>
      </c>
      <c r="N232" s="4" t="s">
        <v>3</v>
      </c>
      <c r="O232" s="4">
        <v>2</v>
      </c>
      <c r="P232" s="4"/>
      <c r="Q232" s="4"/>
      <c r="R232" s="4"/>
      <c r="S232" s="4"/>
      <c r="T232" s="4"/>
      <c r="U232" s="4"/>
      <c r="V232" s="4"/>
      <c r="W232" s="4"/>
    </row>
    <row r="233" spans="1:245" x14ac:dyDescent="0.2">
      <c r="A233" s="4">
        <v>50</v>
      </c>
      <c r="B233" s="4">
        <v>0</v>
      </c>
      <c r="C233" s="4">
        <v>0</v>
      </c>
      <c r="D233" s="4">
        <v>1</v>
      </c>
      <c r="E233" s="4">
        <v>202</v>
      </c>
      <c r="F233" s="4">
        <f>ROUND(Source!P230,O233)</f>
        <v>1271603.55</v>
      </c>
      <c r="G233" s="4" t="s">
        <v>52</v>
      </c>
      <c r="H233" s="4" t="s">
        <v>53</v>
      </c>
      <c r="I233" s="4"/>
      <c r="J233" s="4"/>
      <c r="K233" s="4">
        <v>202</v>
      </c>
      <c r="L233" s="4">
        <v>2</v>
      </c>
      <c r="M233" s="4">
        <v>3</v>
      </c>
      <c r="N233" s="4" t="s">
        <v>3</v>
      </c>
      <c r="O233" s="4">
        <v>2</v>
      </c>
      <c r="P233" s="4"/>
      <c r="Q233" s="4"/>
      <c r="R233" s="4"/>
      <c r="S233" s="4"/>
      <c r="T233" s="4"/>
      <c r="U233" s="4"/>
      <c r="V233" s="4"/>
      <c r="W233" s="4"/>
    </row>
    <row r="234" spans="1:245" x14ac:dyDescent="0.2">
      <c r="A234" s="4">
        <v>50</v>
      </c>
      <c r="B234" s="4">
        <v>0</v>
      </c>
      <c r="C234" s="4">
        <v>0</v>
      </c>
      <c r="D234" s="4">
        <v>1</v>
      </c>
      <c r="E234" s="4">
        <v>222</v>
      </c>
      <c r="F234" s="4">
        <f>ROUND(Source!AO230,O234)</f>
        <v>0</v>
      </c>
      <c r="G234" s="4" t="s">
        <v>54</v>
      </c>
      <c r="H234" s="4" t="s">
        <v>55</v>
      </c>
      <c r="I234" s="4"/>
      <c r="J234" s="4"/>
      <c r="K234" s="4">
        <v>222</v>
      </c>
      <c r="L234" s="4">
        <v>3</v>
      </c>
      <c r="M234" s="4">
        <v>3</v>
      </c>
      <c r="N234" s="4" t="s">
        <v>3</v>
      </c>
      <c r="O234" s="4">
        <v>2</v>
      </c>
      <c r="P234" s="4"/>
      <c r="Q234" s="4"/>
      <c r="R234" s="4"/>
      <c r="S234" s="4"/>
      <c r="T234" s="4"/>
      <c r="U234" s="4"/>
      <c r="V234" s="4"/>
      <c r="W234" s="4"/>
    </row>
    <row r="235" spans="1:245" x14ac:dyDescent="0.2">
      <c r="A235" s="4">
        <v>50</v>
      </c>
      <c r="B235" s="4">
        <v>0</v>
      </c>
      <c r="C235" s="4">
        <v>0</v>
      </c>
      <c r="D235" s="4">
        <v>1</v>
      </c>
      <c r="E235" s="4">
        <v>225</v>
      </c>
      <c r="F235" s="4">
        <f>ROUND(Source!AV230,O235)</f>
        <v>1271603.55</v>
      </c>
      <c r="G235" s="4" t="s">
        <v>56</v>
      </c>
      <c r="H235" s="4" t="s">
        <v>57</v>
      </c>
      <c r="I235" s="4"/>
      <c r="J235" s="4"/>
      <c r="K235" s="4">
        <v>225</v>
      </c>
      <c r="L235" s="4">
        <v>4</v>
      </c>
      <c r="M235" s="4">
        <v>3</v>
      </c>
      <c r="N235" s="4" t="s">
        <v>3</v>
      </c>
      <c r="O235" s="4">
        <v>2</v>
      </c>
      <c r="P235" s="4"/>
      <c r="Q235" s="4"/>
      <c r="R235" s="4"/>
      <c r="S235" s="4"/>
      <c r="T235" s="4"/>
      <c r="U235" s="4"/>
      <c r="V235" s="4"/>
      <c r="W235" s="4"/>
    </row>
    <row r="236" spans="1:245" x14ac:dyDescent="0.2">
      <c r="A236" s="4">
        <v>50</v>
      </c>
      <c r="B236" s="4">
        <v>0</v>
      </c>
      <c r="C236" s="4">
        <v>0</v>
      </c>
      <c r="D236" s="4">
        <v>1</v>
      </c>
      <c r="E236" s="4">
        <v>226</v>
      </c>
      <c r="F236" s="4">
        <f>ROUND(Source!AW230,O236)</f>
        <v>1271603.55</v>
      </c>
      <c r="G236" s="4" t="s">
        <v>58</v>
      </c>
      <c r="H236" s="4" t="s">
        <v>59</v>
      </c>
      <c r="I236" s="4"/>
      <c r="J236" s="4"/>
      <c r="K236" s="4">
        <v>226</v>
      </c>
      <c r="L236" s="4">
        <v>5</v>
      </c>
      <c r="M236" s="4">
        <v>3</v>
      </c>
      <c r="N236" s="4" t="s">
        <v>3</v>
      </c>
      <c r="O236" s="4">
        <v>2</v>
      </c>
      <c r="P236" s="4"/>
      <c r="Q236" s="4"/>
      <c r="R236" s="4"/>
      <c r="S236" s="4"/>
      <c r="T236" s="4"/>
      <c r="U236" s="4"/>
      <c r="V236" s="4"/>
      <c r="W236" s="4"/>
    </row>
    <row r="237" spans="1:245" x14ac:dyDescent="0.2">
      <c r="A237" s="4">
        <v>50</v>
      </c>
      <c r="B237" s="4">
        <v>0</v>
      </c>
      <c r="C237" s="4">
        <v>0</v>
      </c>
      <c r="D237" s="4">
        <v>1</v>
      </c>
      <c r="E237" s="4">
        <v>227</v>
      </c>
      <c r="F237" s="4">
        <f>ROUND(Source!AX230,O237)</f>
        <v>0</v>
      </c>
      <c r="G237" s="4" t="s">
        <v>60</v>
      </c>
      <c r="H237" s="4" t="s">
        <v>61</v>
      </c>
      <c r="I237" s="4"/>
      <c r="J237" s="4"/>
      <c r="K237" s="4">
        <v>227</v>
      </c>
      <c r="L237" s="4">
        <v>6</v>
      </c>
      <c r="M237" s="4">
        <v>3</v>
      </c>
      <c r="N237" s="4" t="s">
        <v>3</v>
      </c>
      <c r="O237" s="4">
        <v>2</v>
      </c>
      <c r="P237" s="4"/>
      <c r="Q237" s="4"/>
      <c r="R237" s="4"/>
      <c r="S237" s="4"/>
      <c r="T237" s="4"/>
      <c r="U237" s="4"/>
      <c r="V237" s="4"/>
      <c r="W237" s="4"/>
    </row>
    <row r="238" spans="1:245" x14ac:dyDescent="0.2">
      <c r="A238" s="4">
        <v>50</v>
      </c>
      <c r="B238" s="4">
        <v>0</v>
      </c>
      <c r="C238" s="4">
        <v>0</v>
      </c>
      <c r="D238" s="4">
        <v>1</v>
      </c>
      <c r="E238" s="4">
        <v>228</v>
      </c>
      <c r="F238" s="4">
        <f>ROUND(Source!AY230,O238)</f>
        <v>1271603.55</v>
      </c>
      <c r="G238" s="4" t="s">
        <v>62</v>
      </c>
      <c r="H238" s="4" t="s">
        <v>63</v>
      </c>
      <c r="I238" s="4"/>
      <c r="J238" s="4"/>
      <c r="K238" s="4">
        <v>228</v>
      </c>
      <c r="L238" s="4">
        <v>7</v>
      </c>
      <c r="M238" s="4">
        <v>3</v>
      </c>
      <c r="N238" s="4" t="s">
        <v>3</v>
      </c>
      <c r="O238" s="4">
        <v>2</v>
      </c>
      <c r="P238" s="4"/>
      <c r="Q238" s="4"/>
      <c r="R238" s="4"/>
      <c r="S238" s="4"/>
      <c r="T238" s="4"/>
      <c r="U238" s="4"/>
      <c r="V238" s="4"/>
      <c r="W238" s="4"/>
    </row>
    <row r="239" spans="1:245" x14ac:dyDescent="0.2">
      <c r="A239" s="4">
        <v>50</v>
      </c>
      <c r="B239" s="4">
        <v>0</v>
      </c>
      <c r="C239" s="4">
        <v>0</v>
      </c>
      <c r="D239" s="4">
        <v>1</v>
      </c>
      <c r="E239" s="4">
        <v>216</v>
      </c>
      <c r="F239" s="4">
        <f>ROUND(Source!AP230,O239)</f>
        <v>0</v>
      </c>
      <c r="G239" s="4" t="s">
        <v>64</v>
      </c>
      <c r="H239" s="4" t="s">
        <v>65</v>
      </c>
      <c r="I239" s="4"/>
      <c r="J239" s="4"/>
      <c r="K239" s="4">
        <v>216</v>
      </c>
      <c r="L239" s="4">
        <v>8</v>
      </c>
      <c r="M239" s="4">
        <v>3</v>
      </c>
      <c r="N239" s="4" t="s">
        <v>3</v>
      </c>
      <c r="O239" s="4">
        <v>2</v>
      </c>
      <c r="P239" s="4"/>
      <c r="Q239" s="4"/>
      <c r="R239" s="4"/>
      <c r="S239" s="4"/>
      <c r="T239" s="4"/>
      <c r="U239" s="4"/>
      <c r="V239" s="4"/>
      <c r="W239" s="4"/>
    </row>
    <row r="240" spans="1:245" x14ac:dyDescent="0.2">
      <c r="A240" s="4">
        <v>50</v>
      </c>
      <c r="B240" s="4">
        <v>0</v>
      </c>
      <c r="C240" s="4">
        <v>0</v>
      </c>
      <c r="D240" s="4">
        <v>1</v>
      </c>
      <c r="E240" s="4">
        <v>223</v>
      </c>
      <c r="F240" s="4">
        <f>ROUND(Source!AQ230,O240)</f>
        <v>0</v>
      </c>
      <c r="G240" s="4" t="s">
        <v>66</v>
      </c>
      <c r="H240" s="4" t="s">
        <v>67</v>
      </c>
      <c r="I240" s="4"/>
      <c r="J240" s="4"/>
      <c r="K240" s="4">
        <v>223</v>
      </c>
      <c r="L240" s="4">
        <v>9</v>
      </c>
      <c r="M240" s="4">
        <v>3</v>
      </c>
      <c r="N240" s="4" t="s">
        <v>3</v>
      </c>
      <c r="O240" s="4">
        <v>2</v>
      </c>
      <c r="P240" s="4"/>
      <c r="Q240" s="4"/>
      <c r="R240" s="4"/>
      <c r="S240" s="4"/>
      <c r="T240" s="4"/>
      <c r="U240" s="4"/>
      <c r="V240" s="4"/>
      <c r="W240" s="4"/>
    </row>
    <row r="241" spans="1:23" x14ac:dyDescent="0.2">
      <c r="A241" s="4">
        <v>50</v>
      </c>
      <c r="B241" s="4">
        <v>0</v>
      </c>
      <c r="C241" s="4">
        <v>0</v>
      </c>
      <c r="D241" s="4">
        <v>1</v>
      </c>
      <c r="E241" s="4">
        <v>229</v>
      </c>
      <c r="F241" s="4">
        <f>ROUND(Source!AZ230,O241)</f>
        <v>0</v>
      </c>
      <c r="G241" s="4" t="s">
        <v>68</v>
      </c>
      <c r="H241" s="4" t="s">
        <v>69</v>
      </c>
      <c r="I241" s="4"/>
      <c r="J241" s="4"/>
      <c r="K241" s="4">
        <v>229</v>
      </c>
      <c r="L241" s="4">
        <v>10</v>
      </c>
      <c r="M241" s="4">
        <v>3</v>
      </c>
      <c r="N241" s="4" t="s">
        <v>3</v>
      </c>
      <c r="O241" s="4">
        <v>2</v>
      </c>
      <c r="P241" s="4"/>
      <c r="Q241" s="4"/>
      <c r="R241" s="4"/>
      <c r="S241" s="4"/>
      <c r="T241" s="4"/>
      <c r="U241" s="4"/>
      <c r="V241" s="4"/>
      <c r="W241" s="4"/>
    </row>
    <row r="242" spans="1:23" x14ac:dyDescent="0.2">
      <c r="A242" s="4">
        <v>50</v>
      </c>
      <c r="B242" s="4">
        <v>0</v>
      </c>
      <c r="C242" s="4">
        <v>0</v>
      </c>
      <c r="D242" s="4">
        <v>1</v>
      </c>
      <c r="E242" s="4">
        <v>203</v>
      </c>
      <c r="F242" s="4">
        <f>ROUND(Source!Q230,O242)</f>
        <v>91194.26</v>
      </c>
      <c r="G242" s="4" t="s">
        <v>70</v>
      </c>
      <c r="H242" s="4" t="s">
        <v>71</v>
      </c>
      <c r="I242" s="4"/>
      <c r="J242" s="4"/>
      <c r="K242" s="4">
        <v>203</v>
      </c>
      <c r="L242" s="4">
        <v>11</v>
      </c>
      <c r="M242" s="4">
        <v>3</v>
      </c>
      <c r="N242" s="4" t="s">
        <v>3</v>
      </c>
      <c r="O242" s="4">
        <v>2</v>
      </c>
      <c r="P242" s="4"/>
      <c r="Q242" s="4"/>
      <c r="R242" s="4"/>
      <c r="S242" s="4"/>
      <c r="T242" s="4"/>
      <c r="U242" s="4"/>
      <c r="V242" s="4"/>
      <c r="W242" s="4"/>
    </row>
    <row r="243" spans="1:23" x14ac:dyDescent="0.2">
      <c r="A243" s="4">
        <v>50</v>
      </c>
      <c r="B243" s="4">
        <v>0</v>
      </c>
      <c r="C243" s="4">
        <v>0</v>
      </c>
      <c r="D243" s="4">
        <v>1</v>
      </c>
      <c r="E243" s="4">
        <v>231</v>
      </c>
      <c r="F243" s="4">
        <f>ROUND(Source!BB230,O243)</f>
        <v>0</v>
      </c>
      <c r="G243" s="4" t="s">
        <v>72</v>
      </c>
      <c r="H243" s="4" t="s">
        <v>73</v>
      </c>
      <c r="I243" s="4"/>
      <c r="J243" s="4"/>
      <c r="K243" s="4">
        <v>231</v>
      </c>
      <c r="L243" s="4">
        <v>12</v>
      </c>
      <c r="M243" s="4">
        <v>3</v>
      </c>
      <c r="N243" s="4" t="s">
        <v>3</v>
      </c>
      <c r="O243" s="4">
        <v>2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2">
      <c r="A244" s="4">
        <v>50</v>
      </c>
      <c r="B244" s="4">
        <v>0</v>
      </c>
      <c r="C244" s="4">
        <v>0</v>
      </c>
      <c r="D244" s="4">
        <v>1</v>
      </c>
      <c r="E244" s="4">
        <v>204</v>
      </c>
      <c r="F244" s="4">
        <f>ROUND(Source!R230,O244)</f>
        <v>53026.68</v>
      </c>
      <c r="G244" s="4" t="s">
        <v>74</v>
      </c>
      <c r="H244" s="4" t="s">
        <v>75</v>
      </c>
      <c r="I244" s="4"/>
      <c r="J244" s="4"/>
      <c r="K244" s="4">
        <v>204</v>
      </c>
      <c r="L244" s="4">
        <v>13</v>
      </c>
      <c r="M244" s="4">
        <v>3</v>
      </c>
      <c r="N244" s="4" t="s">
        <v>3</v>
      </c>
      <c r="O244" s="4">
        <v>2</v>
      </c>
      <c r="P244" s="4"/>
      <c r="Q244" s="4"/>
      <c r="R244" s="4"/>
      <c r="S244" s="4"/>
      <c r="T244" s="4"/>
      <c r="U244" s="4"/>
      <c r="V244" s="4"/>
      <c r="W244" s="4"/>
    </row>
    <row r="245" spans="1:23" x14ac:dyDescent="0.2">
      <c r="A245" s="4">
        <v>50</v>
      </c>
      <c r="B245" s="4">
        <v>0</v>
      </c>
      <c r="C245" s="4">
        <v>0</v>
      </c>
      <c r="D245" s="4">
        <v>1</v>
      </c>
      <c r="E245" s="4">
        <v>205</v>
      </c>
      <c r="F245" s="4">
        <f>ROUND(Source!S230,O245)</f>
        <v>242112.8</v>
      </c>
      <c r="G245" s="4" t="s">
        <v>76</v>
      </c>
      <c r="H245" s="4" t="s">
        <v>77</v>
      </c>
      <c r="I245" s="4"/>
      <c r="J245" s="4"/>
      <c r="K245" s="4">
        <v>205</v>
      </c>
      <c r="L245" s="4">
        <v>14</v>
      </c>
      <c r="M245" s="4">
        <v>3</v>
      </c>
      <c r="N245" s="4" t="s">
        <v>3</v>
      </c>
      <c r="O245" s="4">
        <v>2</v>
      </c>
      <c r="P245" s="4"/>
      <c r="Q245" s="4"/>
      <c r="R245" s="4"/>
      <c r="S245" s="4"/>
      <c r="T245" s="4"/>
      <c r="U245" s="4"/>
      <c r="V245" s="4"/>
      <c r="W245" s="4"/>
    </row>
    <row r="246" spans="1:23" x14ac:dyDescent="0.2">
      <c r="A246" s="4">
        <v>50</v>
      </c>
      <c r="B246" s="4">
        <v>0</v>
      </c>
      <c r="C246" s="4">
        <v>0</v>
      </c>
      <c r="D246" s="4">
        <v>1</v>
      </c>
      <c r="E246" s="4">
        <v>232</v>
      </c>
      <c r="F246" s="4">
        <f>ROUND(Source!BC230,O246)</f>
        <v>0</v>
      </c>
      <c r="G246" s="4" t="s">
        <v>78</v>
      </c>
      <c r="H246" s="4" t="s">
        <v>79</v>
      </c>
      <c r="I246" s="4"/>
      <c r="J246" s="4"/>
      <c r="K246" s="4">
        <v>232</v>
      </c>
      <c r="L246" s="4">
        <v>15</v>
      </c>
      <c r="M246" s="4">
        <v>3</v>
      </c>
      <c r="N246" s="4" t="s">
        <v>3</v>
      </c>
      <c r="O246" s="4">
        <v>2</v>
      </c>
      <c r="P246" s="4"/>
      <c r="Q246" s="4"/>
      <c r="R246" s="4"/>
      <c r="S246" s="4"/>
      <c r="T246" s="4"/>
      <c r="U246" s="4"/>
      <c r="V246" s="4"/>
      <c r="W246" s="4"/>
    </row>
    <row r="247" spans="1:23" x14ac:dyDescent="0.2">
      <c r="A247" s="4">
        <v>50</v>
      </c>
      <c r="B247" s="4">
        <v>0</v>
      </c>
      <c r="C247" s="4">
        <v>0</v>
      </c>
      <c r="D247" s="4">
        <v>1</v>
      </c>
      <c r="E247" s="4">
        <v>214</v>
      </c>
      <c r="F247" s="4">
        <f>ROUND(Source!AS230,O247)</f>
        <v>0</v>
      </c>
      <c r="G247" s="4" t="s">
        <v>80</v>
      </c>
      <c r="H247" s="4" t="s">
        <v>81</v>
      </c>
      <c r="I247" s="4"/>
      <c r="J247" s="4"/>
      <c r="K247" s="4">
        <v>214</v>
      </c>
      <c r="L247" s="4">
        <v>16</v>
      </c>
      <c r="M247" s="4">
        <v>3</v>
      </c>
      <c r="N247" s="4" t="s">
        <v>3</v>
      </c>
      <c r="O247" s="4">
        <v>2</v>
      </c>
      <c r="P247" s="4"/>
      <c r="Q247" s="4"/>
      <c r="R247" s="4"/>
      <c r="S247" s="4"/>
      <c r="T247" s="4"/>
      <c r="U247" s="4"/>
      <c r="V247" s="4"/>
      <c r="W247" s="4"/>
    </row>
    <row r="248" spans="1:23" x14ac:dyDescent="0.2">
      <c r="A248" s="4">
        <v>50</v>
      </c>
      <c r="B248" s="4">
        <v>0</v>
      </c>
      <c r="C248" s="4">
        <v>0</v>
      </c>
      <c r="D248" s="4">
        <v>1</v>
      </c>
      <c r="E248" s="4">
        <v>215</v>
      </c>
      <c r="F248" s="4">
        <f>ROUND(Source!AT230,O248)</f>
        <v>0</v>
      </c>
      <c r="G248" s="4" t="s">
        <v>82</v>
      </c>
      <c r="H248" s="4" t="s">
        <v>83</v>
      </c>
      <c r="I248" s="4"/>
      <c r="J248" s="4"/>
      <c r="K248" s="4">
        <v>215</v>
      </c>
      <c r="L248" s="4">
        <v>17</v>
      </c>
      <c r="M248" s="4">
        <v>3</v>
      </c>
      <c r="N248" s="4" t="s">
        <v>3</v>
      </c>
      <c r="O248" s="4">
        <v>2</v>
      </c>
      <c r="P248" s="4"/>
      <c r="Q248" s="4"/>
      <c r="R248" s="4"/>
      <c r="S248" s="4"/>
      <c r="T248" s="4"/>
      <c r="U248" s="4"/>
      <c r="V248" s="4"/>
      <c r="W248" s="4"/>
    </row>
    <row r="249" spans="1:23" x14ac:dyDescent="0.2">
      <c r="A249" s="4">
        <v>50</v>
      </c>
      <c r="B249" s="4">
        <v>0</v>
      </c>
      <c r="C249" s="4">
        <v>0</v>
      </c>
      <c r="D249" s="4">
        <v>1</v>
      </c>
      <c r="E249" s="4">
        <v>217</v>
      </c>
      <c r="F249" s="4">
        <f>ROUND(Source!AU230,O249)</f>
        <v>1855869.7</v>
      </c>
      <c r="G249" s="4" t="s">
        <v>84</v>
      </c>
      <c r="H249" s="4" t="s">
        <v>85</v>
      </c>
      <c r="I249" s="4"/>
      <c r="J249" s="4"/>
      <c r="K249" s="4">
        <v>217</v>
      </c>
      <c r="L249" s="4">
        <v>18</v>
      </c>
      <c r="M249" s="4">
        <v>3</v>
      </c>
      <c r="N249" s="4" t="s">
        <v>3</v>
      </c>
      <c r="O249" s="4">
        <v>2</v>
      </c>
      <c r="P249" s="4"/>
      <c r="Q249" s="4"/>
      <c r="R249" s="4"/>
      <c r="S249" s="4"/>
      <c r="T249" s="4"/>
      <c r="U249" s="4"/>
      <c r="V249" s="4"/>
      <c r="W249" s="4"/>
    </row>
    <row r="250" spans="1:23" x14ac:dyDescent="0.2">
      <c r="A250" s="4">
        <v>50</v>
      </c>
      <c r="B250" s="4">
        <v>0</v>
      </c>
      <c r="C250" s="4">
        <v>0</v>
      </c>
      <c r="D250" s="4">
        <v>1</v>
      </c>
      <c r="E250" s="4">
        <v>230</v>
      </c>
      <c r="F250" s="4">
        <f>ROUND(Source!BA230,O250)</f>
        <v>0</v>
      </c>
      <c r="G250" s="4" t="s">
        <v>86</v>
      </c>
      <c r="H250" s="4" t="s">
        <v>87</v>
      </c>
      <c r="I250" s="4"/>
      <c r="J250" s="4"/>
      <c r="K250" s="4">
        <v>230</v>
      </c>
      <c r="L250" s="4">
        <v>19</v>
      </c>
      <c r="M250" s="4">
        <v>3</v>
      </c>
      <c r="N250" s="4" t="s">
        <v>3</v>
      </c>
      <c r="O250" s="4">
        <v>2</v>
      </c>
      <c r="P250" s="4"/>
      <c r="Q250" s="4"/>
      <c r="R250" s="4"/>
      <c r="S250" s="4"/>
      <c r="T250" s="4"/>
      <c r="U250" s="4"/>
      <c r="V250" s="4"/>
      <c r="W250" s="4"/>
    </row>
    <row r="251" spans="1:23" x14ac:dyDescent="0.2">
      <c r="A251" s="4">
        <v>50</v>
      </c>
      <c r="B251" s="4">
        <v>0</v>
      </c>
      <c r="C251" s="4">
        <v>0</v>
      </c>
      <c r="D251" s="4">
        <v>1</v>
      </c>
      <c r="E251" s="4">
        <v>206</v>
      </c>
      <c r="F251" s="4">
        <f>ROUND(Source!T230,O251)</f>
        <v>0</v>
      </c>
      <c r="G251" s="4" t="s">
        <v>88</v>
      </c>
      <c r="H251" s="4" t="s">
        <v>89</v>
      </c>
      <c r="I251" s="4"/>
      <c r="J251" s="4"/>
      <c r="K251" s="4">
        <v>206</v>
      </c>
      <c r="L251" s="4">
        <v>20</v>
      </c>
      <c r="M251" s="4">
        <v>3</v>
      </c>
      <c r="N251" s="4" t="s">
        <v>3</v>
      </c>
      <c r="O251" s="4">
        <v>2</v>
      </c>
      <c r="P251" s="4"/>
      <c r="Q251" s="4"/>
      <c r="R251" s="4"/>
      <c r="S251" s="4"/>
      <c r="T251" s="4"/>
      <c r="U251" s="4"/>
      <c r="V251" s="4"/>
      <c r="W251" s="4"/>
    </row>
    <row r="252" spans="1:23" x14ac:dyDescent="0.2">
      <c r="A252" s="4">
        <v>50</v>
      </c>
      <c r="B252" s="4">
        <v>0</v>
      </c>
      <c r="C252" s="4">
        <v>0</v>
      </c>
      <c r="D252" s="4">
        <v>1</v>
      </c>
      <c r="E252" s="4">
        <v>207</v>
      </c>
      <c r="F252" s="4">
        <f>Source!U230</f>
        <v>1082.6383500000002</v>
      </c>
      <c r="G252" s="4" t="s">
        <v>90</v>
      </c>
      <c r="H252" s="4" t="s">
        <v>91</v>
      </c>
      <c r="I252" s="4"/>
      <c r="J252" s="4"/>
      <c r="K252" s="4">
        <v>207</v>
      </c>
      <c r="L252" s="4">
        <v>21</v>
      </c>
      <c r="M252" s="4">
        <v>3</v>
      </c>
      <c r="N252" s="4" t="s">
        <v>3</v>
      </c>
      <c r="O252" s="4">
        <v>-1</v>
      </c>
      <c r="P252" s="4"/>
      <c r="Q252" s="4"/>
      <c r="R252" s="4"/>
      <c r="S252" s="4"/>
      <c r="T252" s="4"/>
      <c r="U252" s="4"/>
      <c r="V252" s="4"/>
      <c r="W252" s="4"/>
    </row>
    <row r="253" spans="1:23" x14ac:dyDescent="0.2">
      <c r="A253" s="4">
        <v>50</v>
      </c>
      <c r="B253" s="4">
        <v>0</v>
      </c>
      <c r="C253" s="4">
        <v>0</v>
      </c>
      <c r="D253" s="4">
        <v>1</v>
      </c>
      <c r="E253" s="4">
        <v>208</v>
      </c>
      <c r="F253" s="4">
        <f>Source!V230</f>
        <v>0</v>
      </c>
      <c r="G253" s="4" t="s">
        <v>92</v>
      </c>
      <c r="H253" s="4" t="s">
        <v>93</v>
      </c>
      <c r="I253" s="4"/>
      <c r="J253" s="4"/>
      <c r="K253" s="4">
        <v>208</v>
      </c>
      <c r="L253" s="4">
        <v>22</v>
      </c>
      <c r="M253" s="4">
        <v>3</v>
      </c>
      <c r="N253" s="4" t="s">
        <v>3</v>
      </c>
      <c r="O253" s="4">
        <v>-1</v>
      </c>
      <c r="P253" s="4"/>
      <c r="Q253" s="4"/>
      <c r="R253" s="4"/>
      <c r="S253" s="4"/>
      <c r="T253" s="4"/>
      <c r="U253" s="4"/>
      <c r="V253" s="4"/>
      <c r="W253" s="4"/>
    </row>
    <row r="254" spans="1:23" x14ac:dyDescent="0.2">
      <c r="A254" s="4">
        <v>50</v>
      </c>
      <c r="B254" s="4">
        <v>0</v>
      </c>
      <c r="C254" s="4">
        <v>0</v>
      </c>
      <c r="D254" s="4">
        <v>1</v>
      </c>
      <c r="E254" s="4">
        <v>209</v>
      </c>
      <c r="F254" s="4">
        <f>ROUND(Source!W230,O254)</f>
        <v>0</v>
      </c>
      <c r="G254" s="4" t="s">
        <v>94</v>
      </c>
      <c r="H254" s="4" t="s">
        <v>95</v>
      </c>
      <c r="I254" s="4"/>
      <c r="J254" s="4"/>
      <c r="K254" s="4">
        <v>209</v>
      </c>
      <c r="L254" s="4">
        <v>23</v>
      </c>
      <c r="M254" s="4">
        <v>3</v>
      </c>
      <c r="N254" s="4" t="s">
        <v>3</v>
      </c>
      <c r="O254" s="4">
        <v>2</v>
      </c>
      <c r="P254" s="4"/>
      <c r="Q254" s="4"/>
      <c r="R254" s="4"/>
      <c r="S254" s="4"/>
      <c r="T254" s="4"/>
      <c r="U254" s="4"/>
      <c r="V254" s="4"/>
      <c r="W254" s="4"/>
    </row>
    <row r="255" spans="1:23" x14ac:dyDescent="0.2">
      <c r="A255" s="4">
        <v>50</v>
      </c>
      <c r="B255" s="4">
        <v>0</v>
      </c>
      <c r="C255" s="4">
        <v>0</v>
      </c>
      <c r="D255" s="4">
        <v>1</v>
      </c>
      <c r="E255" s="4">
        <v>233</v>
      </c>
      <c r="F255" s="4">
        <f>ROUND(Source!BD230,O255)</f>
        <v>0</v>
      </c>
      <c r="G255" s="4" t="s">
        <v>96</v>
      </c>
      <c r="H255" s="4" t="s">
        <v>97</v>
      </c>
      <c r="I255" s="4"/>
      <c r="J255" s="4"/>
      <c r="K255" s="4">
        <v>233</v>
      </c>
      <c r="L255" s="4">
        <v>24</v>
      </c>
      <c r="M255" s="4">
        <v>3</v>
      </c>
      <c r="N255" s="4" t="s">
        <v>3</v>
      </c>
      <c r="O255" s="4">
        <v>2</v>
      </c>
      <c r="P255" s="4"/>
      <c r="Q255" s="4"/>
      <c r="R255" s="4"/>
      <c r="S255" s="4"/>
      <c r="T255" s="4"/>
      <c r="U255" s="4"/>
      <c r="V255" s="4"/>
      <c r="W255" s="4"/>
    </row>
    <row r="256" spans="1:23" x14ac:dyDescent="0.2">
      <c r="A256" s="4">
        <v>50</v>
      </c>
      <c r="B256" s="4">
        <v>0</v>
      </c>
      <c r="C256" s="4">
        <v>0</v>
      </c>
      <c r="D256" s="4">
        <v>1</v>
      </c>
      <c r="E256" s="4">
        <v>210</v>
      </c>
      <c r="F256" s="4">
        <f>ROUND(Source!X230,O256)</f>
        <v>169478.97</v>
      </c>
      <c r="G256" s="4" t="s">
        <v>98</v>
      </c>
      <c r="H256" s="4" t="s">
        <v>99</v>
      </c>
      <c r="I256" s="4"/>
      <c r="J256" s="4"/>
      <c r="K256" s="4">
        <v>210</v>
      </c>
      <c r="L256" s="4">
        <v>25</v>
      </c>
      <c r="M256" s="4">
        <v>3</v>
      </c>
      <c r="N256" s="4" t="s">
        <v>3</v>
      </c>
      <c r="O256" s="4">
        <v>2</v>
      </c>
      <c r="P256" s="4"/>
      <c r="Q256" s="4"/>
      <c r="R256" s="4"/>
      <c r="S256" s="4"/>
      <c r="T256" s="4"/>
      <c r="U256" s="4"/>
      <c r="V256" s="4"/>
      <c r="W256" s="4"/>
    </row>
    <row r="257" spans="1:206" x14ac:dyDescent="0.2">
      <c r="A257" s="4">
        <v>50</v>
      </c>
      <c r="B257" s="4">
        <v>0</v>
      </c>
      <c r="C257" s="4">
        <v>0</v>
      </c>
      <c r="D257" s="4">
        <v>1</v>
      </c>
      <c r="E257" s="4">
        <v>211</v>
      </c>
      <c r="F257" s="4">
        <f>ROUND(Source!Y230,O257)</f>
        <v>24211.3</v>
      </c>
      <c r="G257" s="4" t="s">
        <v>100</v>
      </c>
      <c r="H257" s="4" t="s">
        <v>101</v>
      </c>
      <c r="I257" s="4"/>
      <c r="J257" s="4"/>
      <c r="K257" s="4">
        <v>211</v>
      </c>
      <c r="L257" s="4">
        <v>26</v>
      </c>
      <c r="M257" s="4">
        <v>3</v>
      </c>
      <c r="N257" s="4" t="s">
        <v>3</v>
      </c>
      <c r="O257" s="4">
        <v>2</v>
      </c>
      <c r="P257" s="4"/>
      <c r="Q257" s="4"/>
      <c r="R257" s="4"/>
      <c r="S257" s="4"/>
      <c r="T257" s="4"/>
      <c r="U257" s="4"/>
      <c r="V257" s="4"/>
      <c r="W257" s="4"/>
    </row>
    <row r="258" spans="1:206" x14ac:dyDescent="0.2">
      <c r="A258" s="4">
        <v>50</v>
      </c>
      <c r="B258" s="4">
        <v>0</v>
      </c>
      <c r="C258" s="4">
        <v>0</v>
      </c>
      <c r="D258" s="4">
        <v>1</v>
      </c>
      <c r="E258" s="4">
        <v>224</v>
      </c>
      <c r="F258" s="4">
        <f>ROUND(Source!AR230,O258)</f>
        <v>1855869.7</v>
      </c>
      <c r="G258" s="4" t="s">
        <v>102</v>
      </c>
      <c r="H258" s="4" t="s">
        <v>103</v>
      </c>
      <c r="I258" s="4"/>
      <c r="J258" s="4"/>
      <c r="K258" s="4">
        <v>224</v>
      </c>
      <c r="L258" s="4">
        <v>27</v>
      </c>
      <c r="M258" s="4">
        <v>3</v>
      </c>
      <c r="N258" s="4" t="s">
        <v>3</v>
      </c>
      <c r="O258" s="4">
        <v>2</v>
      </c>
      <c r="P258" s="4"/>
      <c r="Q258" s="4"/>
      <c r="R258" s="4"/>
      <c r="S258" s="4"/>
      <c r="T258" s="4"/>
      <c r="U258" s="4"/>
      <c r="V258" s="4"/>
      <c r="W258" s="4"/>
    </row>
    <row r="260" spans="1:206" x14ac:dyDescent="0.2">
      <c r="A260" s="2">
        <v>51</v>
      </c>
      <c r="B260" s="2">
        <f>B154</f>
        <v>1</v>
      </c>
      <c r="C260" s="2">
        <f>A154</f>
        <v>4</v>
      </c>
      <c r="D260" s="2">
        <f>ROW(A154)</f>
        <v>154</v>
      </c>
      <c r="E260" s="2"/>
      <c r="F260" s="2" t="str">
        <f>IF(F154&lt;&gt;"",F154,"")</f>
        <v>Новый раздел</v>
      </c>
      <c r="G260" s="2" t="str">
        <f>IF(G154&lt;&gt;"",G154,"")</f>
        <v>Игровые и спортивные площадки</v>
      </c>
      <c r="H260" s="2">
        <v>0</v>
      </c>
      <c r="I260" s="2"/>
      <c r="J260" s="2"/>
      <c r="K260" s="2"/>
      <c r="L260" s="2"/>
      <c r="M260" s="2"/>
      <c r="N260" s="2"/>
      <c r="O260" s="2">
        <f t="shared" ref="O260:T260" si="152">ROUND(O165+O230+AB260,2)</f>
        <v>1615065.65</v>
      </c>
      <c r="P260" s="2">
        <f t="shared" si="152"/>
        <v>1271603.55</v>
      </c>
      <c r="Q260" s="2">
        <f t="shared" si="152"/>
        <v>91453.42</v>
      </c>
      <c r="R260" s="2">
        <f t="shared" si="152"/>
        <v>53037.97</v>
      </c>
      <c r="S260" s="2">
        <f t="shared" si="152"/>
        <v>252008.68</v>
      </c>
      <c r="T260" s="2">
        <f t="shared" si="152"/>
        <v>0</v>
      </c>
      <c r="U260" s="2">
        <f>U165+U230+AH260</f>
        <v>1121.0943500000001</v>
      </c>
      <c r="V260" s="2">
        <f>V165+V230+AI260</f>
        <v>0</v>
      </c>
      <c r="W260" s="2">
        <f>ROUND(W165+W230+AJ260,2)</f>
        <v>0</v>
      </c>
      <c r="X260" s="2">
        <f>ROUND(X165+X230+AK260,2)</f>
        <v>176406.09</v>
      </c>
      <c r="Y260" s="2">
        <f>ROUND(Y165+Y230+AL260,2)</f>
        <v>25200.89</v>
      </c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>
        <f t="shared" ref="AO260:BD260" si="153">ROUND(AO165+AO230+BX260,2)</f>
        <v>0</v>
      </c>
      <c r="AP260" s="2">
        <f t="shared" si="153"/>
        <v>0</v>
      </c>
      <c r="AQ260" s="2">
        <f t="shared" si="153"/>
        <v>0</v>
      </c>
      <c r="AR260" s="2">
        <f t="shared" si="153"/>
        <v>1873953.64</v>
      </c>
      <c r="AS260" s="2">
        <f t="shared" si="153"/>
        <v>0</v>
      </c>
      <c r="AT260" s="2">
        <f t="shared" si="153"/>
        <v>0</v>
      </c>
      <c r="AU260" s="2">
        <f t="shared" si="153"/>
        <v>1873953.64</v>
      </c>
      <c r="AV260" s="2">
        <f t="shared" si="153"/>
        <v>1271603.55</v>
      </c>
      <c r="AW260" s="2">
        <f t="shared" si="153"/>
        <v>1271603.55</v>
      </c>
      <c r="AX260" s="2">
        <f t="shared" si="153"/>
        <v>0</v>
      </c>
      <c r="AY260" s="2">
        <f t="shared" si="153"/>
        <v>1271603.55</v>
      </c>
      <c r="AZ260" s="2">
        <f t="shared" si="153"/>
        <v>0</v>
      </c>
      <c r="BA260" s="2">
        <f t="shared" si="153"/>
        <v>0</v>
      </c>
      <c r="BB260" s="2">
        <f t="shared" si="153"/>
        <v>0</v>
      </c>
      <c r="BC260" s="2">
        <f t="shared" si="153"/>
        <v>0</v>
      </c>
      <c r="BD260" s="2">
        <f t="shared" si="153"/>
        <v>0</v>
      </c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>
        <v>0</v>
      </c>
    </row>
    <row r="262" spans="1:206" x14ac:dyDescent="0.2">
      <c r="A262" s="4">
        <v>50</v>
      </c>
      <c r="B262" s="4">
        <v>0</v>
      </c>
      <c r="C262" s="4">
        <v>0</v>
      </c>
      <c r="D262" s="4">
        <v>1</v>
      </c>
      <c r="E262" s="4">
        <v>201</v>
      </c>
      <c r="F262" s="4">
        <f>ROUND(Source!O260,O262)</f>
        <v>1615065.65</v>
      </c>
      <c r="G262" s="4" t="s">
        <v>50</v>
      </c>
      <c r="H262" s="4" t="s">
        <v>51</v>
      </c>
      <c r="I262" s="4"/>
      <c r="J262" s="4"/>
      <c r="K262" s="4">
        <v>201</v>
      </c>
      <c r="L262" s="4">
        <v>1</v>
      </c>
      <c r="M262" s="4">
        <v>3</v>
      </c>
      <c r="N262" s="4" t="s">
        <v>3</v>
      </c>
      <c r="O262" s="4">
        <v>2</v>
      </c>
      <c r="P262" s="4"/>
      <c r="Q262" s="4"/>
      <c r="R262" s="4"/>
      <c r="S262" s="4"/>
      <c r="T262" s="4"/>
      <c r="U262" s="4"/>
      <c r="V262" s="4"/>
      <c r="W262" s="4"/>
    </row>
    <row r="263" spans="1:206" x14ac:dyDescent="0.2">
      <c r="A263" s="4">
        <v>50</v>
      </c>
      <c r="B263" s="4">
        <v>0</v>
      </c>
      <c r="C263" s="4">
        <v>0</v>
      </c>
      <c r="D263" s="4">
        <v>1</v>
      </c>
      <c r="E263" s="4">
        <v>202</v>
      </c>
      <c r="F263" s="4">
        <f>ROUND(Source!P260,O263)</f>
        <v>1271603.55</v>
      </c>
      <c r="G263" s="4" t="s">
        <v>52</v>
      </c>
      <c r="H263" s="4" t="s">
        <v>53</v>
      </c>
      <c r="I263" s="4"/>
      <c r="J263" s="4"/>
      <c r="K263" s="4">
        <v>202</v>
      </c>
      <c r="L263" s="4">
        <v>2</v>
      </c>
      <c r="M263" s="4">
        <v>3</v>
      </c>
      <c r="N263" s="4" t="s">
        <v>3</v>
      </c>
      <c r="O263" s="4">
        <v>2</v>
      </c>
      <c r="P263" s="4"/>
      <c r="Q263" s="4"/>
      <c r="R263" s="4"/>
      <c r="S263" s="4"/>
      <c r="T263" s="4"/>
      <c r="U263" s="4"/>
      <c r="V263" s="4"/>
      <c r="W263" s="4"/>
    </row>
    <row r="264" spans="1:206" x14ac:dyDescent="0.2">
      <c r="A264" s="4">
        <v>50</v>
      </c>
      <c r="B264" s="4">
        <v>0</v>
      </c>
      <c r="C264" s="4">
        <v>0</v>
      </c>
      <c r="D264" s="4">
        <v>1</v>
      </c>
      <c r="E264" s="4">
        <v>222</v>
      </c>
      <c r="F264" s="4">
        <f>ROUND(Source!AO260,O264)</f>
        <v>0</v>
      </c>
      <c r="G264" s="4" t="s">
        <v>54</v>
      </c>
      <c r="H264" s="4" t="s">
        <v>55</v>
      </c>
      <c r="I264" s="4"/>
      <c r="J264" s="4"/>
      <c r="K264" s="4">
        <v>222</v>
      </c>
      <c r="L264" s="4">
        <v>3</v>
      </c>
      <c r="M264" s="4">
        <v>3</v>
      </c>
      <c r="N264" s="4" t="s">
        <v>3</v>
      </c>
      <c r="O264" s="4">
        <v>2</v>
      </c>
      <c r="P264" s="4"/>
      <c r="Q264" s="4"/>
      <c r="R264" s="4"/>
      <c r="S264" s="4"/>
      <c r="T264" s="4"/>
      <c r="U264" s="4"/>
      <c r="V264" s="4"/>
      <c r="W264" s="4"/>
    </row>
    <row r="265" spans="1:206" x14ac:dyDescent="0.2">
      <c r="A265" s="4">
        <v>50</v>
      </c>
      <c r="B265" s="4">
        <v>0</v>
      </c>
      <c r="C265" s="4">
        <v>0</v>
      </c>
      <c r="D265" s="4">
        <v>1</v>
      </c>
      <c r="E265" s="4">
        <v>225</v>
      </c>
      <c r="F265" s="4">
        <f>ROUND(Source!AV260,O265)</f>
        <v>1271603.55</v>
      </c>
      <c r="G265" s="4" t="s">
        <v>56</v>
      </c>
      <c r="H265" s="4" t="s">
        <v>57</v>
      </c>
      <c r="I265" s="4"/>
      <c r="J265" s="4"/>
      <c r="K265" s="4">
        <v>225</v>
      </c>
      <c r="L265" s="4">
        <v>4</v>
      </c>
      <c r="M265" s="4">
        <v>3</v>
      </c>
      <c r="N265" s="4" t="s">
        <v>3</v>
      </c>
      <c r="O265" s="4">
        <v>2</v>
      </c>
      <c r="P265" s="4"/>
      <c r="Q265" s="4"/>
      <c r="R265" s="4"/>
      <c r="S265" s="4"/>
      <c r="T265" s="4"/>
      <c r="U265" s="4"/>
      <c r="V265" s="4"/>
      <c r="W265" s="4"/>
    </row>
    <row r="266" spans="1:206" x14ac:dyDescent="0.2">
      <c r="A266" s="4">
        <v>50</v>
      </c>
      <c r="B266" s="4">
        <v>0</v>
      </c>
      <c r="C266" s="4">
        <v>0</v>
      </c>
      <c r="D266" s="4">
        <v>1</v>
      </c>
      <c r="E266" s="4">
        <v>226</v>
      </c>
      <c r="F266" s="4">
        <f>ROUND(Source!AW260,O266)</f>
        <v>1271603.55</v>
      </c>
      <c r="G266" s="4" t="s">
        <v>58</v>
      </c>
      <c r="H266" s="4" t="s">
        <v>59</v>
      </c>
      <c r="I266" s="4"/>
      <c r="J266" s="4"/>
      <c r="K266" s="4">
        <v>226</v>
      </c>
      <c r="L266" s="4">
        <v>5</v>
      </c>
      <c r="M266" s="4">
        <v>3</v>
      </c>
      <c r="N266" s="4" t="s">
        <v>3</v>
      </c>
      <c r="O266" s="4">
        <v>2</v>
      </c>
      <c r="P266" s="4"/>
      <c r="Q266" s="4"/>
      <c r="R266" s="4"/>
      <c r="S266" s="4"/>
      <c r="T266" s="4"/>
      <c r="U266" s="4"/>
      <c r="V266" s="4"/>
      <c r="W266" s="4"/>
    </row>
    <row r="267" spans="1:206" x14ac:dyDescent="0.2">
      <c r="A267" s="4">
        <v>50</v>
      </c>
      <c r="B267" s="4">
        <v>0</v>
      </c>
      <c r="C267" s="4">
        <v>0</v>
      </c>
      <c r="D267" s="4">
        <v>1</v>
      </c>
      <c r="E267" s="4">
        <v>227</v>
      </c>
      <c r="F267" s="4">
        <f>ROUND(Source!AX260,O267)</f>
        <v>0</v>
      </c>
      <c r="G267" s="4" t="s">
        <v>60</v>
      </c>
      <c r="H267" s="4" t="s">
        <v>61</v>
      </c>
      <c r="I267" s="4"/>
      <c r="J267" s="4"/>
      <c r="K267" s="4">
        <v>227</v>
      </c>
      <c r="L267" s="4">
        <v>6</v>
      </c>
      <c r="M267" s="4">
        <v>3</v>
      </c>
      <c r="N267" s="4" t="s">
        <v>3</v>
      </c>
      <c r="O267" s="4">
        <v>2</v>
      </c>
      <c r="P267" s="4"/>
      <c r="Q267" s="4"/>
      <c r="R267" s="4"/>
      <c r="S267" s="4"/>
      <c r="T267" s="4"/>
      <c r="U267" s="4"/>
      <c r="V267" s="4"/>
      <c r="W267" s="4"/>
    </row>
    <row r="268" spans="1:206" x14ac:dyDescent="0.2">
      <c r="A268" s="4">
        <v>50</v>
      </c>
      <c r="B268" s="4">
        <v>0</v>
      </c>
      <c r="C268" s="4">
        <v>0</v>
      </c>
      <c r="D268" s="4">
        <v>1</v>
      </c>
      <c r="E268" s="4">
        <v>228</v>
      </c>
      <c r="F268" s="4">
        <f>ROUND(Source!AY260,O268)</f>
        <v>1271603.55</v>
      </c>
      <c r="G268" s="4" t="s">
        <v>62</v>
      </c>
      <c r="H268" s="4" t="s">
        <v>63</v>
      </c>
      <c r="I268" s="4"/>
      <c r="J268" s="4"/>
      <c r="K268" s="4">
        <v>228</v>
      </c>
      <c r="L268" s="4">
        <v>7</v>
      </c>
      <c r="M268" s="4">
        <v>3</v>
      </c>
      <c r="N268" s="4" t="s">
        <v>3</v>
      </c>
      <c r="O268" s="4">
        <v>2</v>
      </c>
      <c r="P268" s="4"/>
      <c r="Q268" s="4"/>
      <c r="R268" s="4"/>
      <c r="S268" s="4"/>
      <c r="T268" s="4"/>
      <c r="U268" s="4"/>
      <c r="V268" s="4"/>
      <c r="W268" s="4"/>
    </row>
    <row r="269" spans="1:206" x14ac:dyDescent="0.2">
      <c r="A269" s="4">
        <v>50</v>
      </c>
      <c r="B269" s="4">
        <v>0</v>
      </c>
      <c r="C269" s="4">
        <v>0</v>
      </c>
      <c r="D269" s="4">
        <v>1</v>
      </c>
      <c r="E269" s="4">
        <v>216</v>
      </c>
      <c r="F269" s="4">
        <f>ROUND(Source!AP260,O269)</f>
        <v>0</v>
      </c>
      <c r="G269" s="4" t="s">
        <v>64</v>
      </c>
      <c r="H269" s="4" t="s">
        <v>65</v>
      </c>
      <c r="I269" s="4"/>
      <c r="J269" s="4"/>
      <c r="K269" s="4">
        <v>216</v>
      </c>
      <c r="L269" s="4">
        <v>8</v>
      </c>
      <c r="M269" s="4">
        <v>3</v>
      </c>
      <c r="N269" s="4" t="s">
        <v>3</v>
      </c>
      <c r="O269" s="4">
        <v>2</v>
      </c>
      <c r="P269" s="4"/>
      <c r="Q269" s="4"/>
      <c r="R269" s="4"/>
      <c r="S269" s="4"/>
      <c r="T269" s="4"/>
      <c r="U269" s="4"/>
      <c r="V269" s="4"/>
      <c r="W269" s="4"/>
    </row>
    <row r="270" spans="1:206" x14ac:dyDescent="0.2">
      <c r="A270" s="4">
        <v>50</v>
      </c>
      <c r="B270" s="4">
        <v>0</v>
      </c>
      <c r="C270" s="4">
        <v>0</v>
      </c>
      <c r="D270" s="4">
        <v>1</v>
      </c>
      <c r="E270" s="4">
        <v>223</v>
      </c>
      <c r="F270" s="4">
        <f>ROUND(Source!AQ260,O270)</f>
        <v>0</v>
      </c>
      <c r="G270" s="4" t="s">
        <v>66</v>
      </c>
      <c r="H270" s="4" t="s">
        <v>67</v>
      </c>
      <c r="I270" s="4"/>
      <c r="J270" s="4"/>
      <c r="K270" s="4">
        <v>223</v>
      </c>
      <c r="L270" s="4">
        <v>9</v>
      </c>
      <c r="M270" s="4">
        <v>3</v>
      </c>
      <c r="N270" s="4" t="s">
        <v>3</v>
      </c>
      <c r="O270" s="4">
        <v>2</v>
      </c>
      <c r="P270" s="4"/>
      <c r="Q270" s="4"/>
      <c r="R270" s="4"/>
      <c r="S270" s="4"/>
      <c r="T270" s="4"/>
      <c r="U270" s="4"/>
      <c r="V270" s="4"/>
      <c r="W270" s="4"/>
    </row>
    <row r="271" spans="1:206" x14ac:dyDescent="0.2">
      <c r="A271" s="4">
        <v>50</v>
      </c>
      <c r="B271" s="4">
        <v>0</v>
      </c>
      <c r="C271" s="4">
        <v>0</v>
      </c>
      <c r="D271" s="4">
        <v>1</v>
      </c>
      <c r="E271" s="4">
        <v>229</v>
      </c>
      <c r="F271" s="4">
        <f>ROUND(Source!AZ260,O271)</f>
        <v>0</v>
      </c>
      <c r="G271" s="4" t="s">
        <v>68</v>
      </c>
      <c r="H271" s="4" t="s">
        <v>69</v>
      </c>
      <c r="I271" s="4"/>
      <c r="J271" s="4"/>
      <c r="K271" s="4">
        <v>229</v>
      </c>
      <c r="L271" s="4">
        <v>10</v>
      </c>
      <c r="M271" s="4">
        <v>3</v>
      </c>
      <c r="N271" s="4" t="s">
        <v>3</v>
      </c>
      <c r="O271" s="4">
        <v>2</v>
      </c>
      <c r="P271" s="4"/>
      <c r="Q271" s="4"/>
      <c r="R271" s="4"/>
      <c r="S271" s="4"/>
      <c r="T271" s="4"/>
      <c r="U271" s="4"/>
      <c r="V271" s="4"/>
      <c r="W271" s="4"/>
    </row>
    <row r="272" spans="1:206" x14ac:dyDescent="0.2">
      <c r="A272" s="4">
        <v>50</v>
      </c>
      <c r="B272" s="4">
        <v>0</v>
      </c>
      <c r="C272" s="4">
        <v>0</v>
      </c>
      <c r="D272" s="4">
        <v>1</v>
      </c>
      <c r="E272" s="4">
        <v>203</v>
      </c>
      <c r="F272" s="4">
        <f>ROUND(Source!Q260,O272)</f>
        <v>91453.42</v>
      </c>
      <c r="G272" s="4" t="s">
        <v>70</v>
      </c>
      <c r="H272" s="4" t="s">
        <v>71</v>
      </c>
      <c r="I272" s="4"/>
      <c r="J272" s="4"/>
      <c r="K272" s="4">
        <v>203</v>
      </c>
      <c r="L272" s="4">
        <v>11</v>
      </c>
      <c r="M272" s="4">
        <v>3</v>
      </c>
      <c r="N272" s="4" t="s">
        <v>3</v>
      </c>
      <c r="O272" s="4">
        <v>2</v>
      </c>
      <c r="P272" s="4"/>
      <c r="Q272" s="4"/>
      <c r="R272" s="4"/>
      <c r="S272" s="4"/>
      <c r="T272" s="4"/>
      <c r="U272" s="4"/>
      <c r="V272" s="4"/>
      <c r="W272" s="4"/>
    </row>
    <row r="273" spans="1:23" x14ac:dyDescent="0.2">
      <c r="A273" s="4">
        <v>50</v>
      </c>
      <c r="B273" s="4">
        <v>0</v>
      </c>
      <c r="C273" s="4">
        <v>0</v>
      </c>
      <c r="D273" s="4">
        <v>1</v>
      </c>
      <c r="E273" s="4">
        <v>231</v>
      </c>
      <c r="F273" s="4">
        <f>ROUND(Source!BB260,O273)</f>
        <v>0</v>
      </c>
      <c r="G273" s="4" t="s">
        <v>72</v>
      </c>
      <c r="H273" s="4" t="s">
        <v>73</v>
      </c>
      <c r="I273" s="4"/>
      <c r="J273" s="4"/>
      <c r="K273" s="4">
        <v>231</v>
      </c>
      <c r="L273" s="4">
        <v>12</v>
      </c>
      <c r="M273" s="4">
        <v>3</v>
      </c>
      <c r="N273" s="4" t="s">
        <v>3</v>
      </c>
      <c r="O273" s="4">
        <v>2</v>
      </c>
      <c r="P273" s="4"/>
      <c r="Q273" s="4"/>
      <c r="R273" s="4"/>
      <c r="S273" s="4"/>
      <c r="T273" s="4"/>
      <c r="U273" s="4"/>
      <c r="V273" s="4"/>
      <c r="W273" s="4"/>
    </row>
    <row r="274" spans="1:23" x14ac:dyDescent="0.2">
      <c r="A274" s="4">
        <v>50</v>
      </c>
      <c r="B274" s="4">
        <v>0</v>
      </c>
      <c r="C274" s="4">
        <v>0</v>
      </c>
      <c r="D274" s="4">
        <v>1</v>
      </c>
      <c r="E274" s="4">
        <v>204</v>
      </c>
      <c r="F274" s="4">
        <f>ROUND(Source!R260,O274)</f>
        <v>53037.97</v>
      </c>
      <c r="G274" s="4" t="s">
        <v>74</v>
      </c>
      <c r="H274" s="4" t="s">
        <v>75</v>
      </c>
      <c r="I274" s="4"/>
      <c r="J274" s="4"/>
      <c r="K274" s="4">
        <v>204</v>
      </c>
      <c r="L274" s="4">
        <v>13</v>
      </c>
      <c r="M274" s="4">
        <v>3</v>
      </c>
      <c r="N274" s="4" t="s">
        <v>3</v>
      </c>
      <c r="O274" s="4">
        <v>2</v>
      </c>
      <c r="P274" s="4"/>
      <c r="Q274" s="4"/>
      <c r="R274" s="4"/>
      <c r="S274" s="4"/>
      <c r="T274" s="4"/>
      <c r="U274" s="4"/>
      <c r="V274" s="4"/>
      <c r="W274" s="4"/>
    </row>
    <row r="275" spans="1:23" x14ac:dyDescent="0.2">
      <c r="A275" s="4">
        <v>50</v>
      </c>
      <c r="B275" s="4">
        <v>0</v>
      </c>
      <c r="C275" s="4">
        <v>0</v>
      </c>
      <c r="D275" s="4">
        <v>1</v>
      </c>
      <c r="E275" s="4">
        <v>205</v>
      </c>
      <c r="F275" s="4">
        <f>ROUND(Source!S260,O275)</f>
        <v>252008.68</v>
      </c>
      <c r="G275" s="4" t="s">
        <v>76</v>
      </c>
      <c r="H275" s="4" t="s">
        <v>77</v>
      </c>
      <c r="I275" s="4"/>
      <c r="J275" s="4"/>
      <c r="K275" s="4">
        <v>205</v>
      </c>
      <c r="L275" s="4">
        <v>14</v>
      </c>
      <c r="M275" s="4">
        <v>3</v>
      </c>
      <c r="N275" s="4" t="s">
        <v>3</v>
      </c>
      <c r="O275" s="4">
        <v>2</v>
      </c>
      <c r="P275" s="4"/>
      <c r="Q275" s="4"/>
      <c r="R275" s="4"/>
      <c r="S275" s="4"/>
      <c r="T275" s="4"/>
      <c r="U275" s="4"/>
      <c r="V275" s="4"/>
      <c r="W275" s="4"/>
    </row>
    <row r="276" spans="1:23" x14ac:dyDescent="0.2">
      <c r="A276" s="4">
        <v>50</v>
      </c>
      <c r="B276" s="4">
        <v>0</v>
      </c>
      <c r="C276" s="4">
        <v>0</v>
      </c>
      <c r="D276" s="4">
        <v>1</v>
      </c>
      <c r="E276" s="4">
        <v>232</v>
      </c>
      <c r="F276" s="4">
        <f>ROUND(Source!BC260,O276)</f>
        <v>0</v>
      </c>
      <c r="G276" s="4" t="s">
        <v>78</v>
      </c>
      <c r="H276" s="4" t="s">
        <v>79</v>
      </c>
      <c r="I276" s="4"/>
      <c r="J276" s="4"/>
      <c r="K276" s="4">
        <v>232</v>
      </c>
      <c r="L276" s="4">
        <v>15</v>
      </c>
      <c r="M276" s="4">
        <v>3</v>
      </c>
      <c r="N276" s="4" t="s">
        <v>3</v>
      </c>
      <c r="O276" s="4">
        <v>2</v>
      </c>
      <c r="P276" s="4"/>
      <c r="Q276" s="4"/>
      <c r="R276" s="4"/>
      <c r="S276" s="4"/>
      <c r="T276" s="4"/>
      <c r="U276" s="4"/>
      <c r="V276" s="4"/>
      <c r="W276" s="4"/>
    </row>
    <row r="277" spans="1:23" x14ac:dyDescent="0.2">
      <c r="A277" s="4">
        <v>50</v>
      </c>
      <c r="B277" s="4">
        <v>0</v>
      </c>
      <c r="C277" s="4">
        <v>0</v>
      </c>
      <c r="D277" s="4">
        <v>1</v>
      </c>
      <c r="E277" s="4">
        <v>214</v>
      </c>
      <c r="F277" s="4">
        <f>ROUND(Source!AS260,O277)</f>
        <v>0</v>
      </c>
      <c r="G277" s="4" t="s">
        <v>80</v>
      </c>
      <c r="H277" s="4" t="s">
        <v>81</v>
      </c>
      <c r="I277" s="4"/>
      <c r="J277" s="4"/>
      <c r="K277" s="4">
        <v>214</v>
      </c>
      <c r="L277" s="4">
        <v>16</v>
      </c>
      <c r="M277" s="4">
        <v>3</v>
      </c>
      <c r="N277" s="4" t="s">
        <v>3</v>
      </c>
      <c r="O277" s="4">
        <v>2</v>
      </c>
      <c r="P277" s="4"/>
      <c r="Q277" s="4"/>
      <c r="R277" s="4"/>
      <c r="S277" s="4"/>
      <c r="T277" s="4"/>
      <c r="U277" s="4"/>
      <c r="V277" s="4"/>
      <c r="W277" s="4"/>
    </row>
    <row r="278" spans="1:23" x14ac:dyDescent="0.2">
      <c r="A278" s="4">
        <v>50</v>
      </c>
      <c r="B278" s="4">
        <v>0</v>
      </c>
      <c r="C278" s="4">
        <v>0</v>
      </c>
      <c r="D278" s="4">
        <v>1</v>
      </c>
      <c r="E278" s="4">
        <v>215</v>
      </c>
      <c r="F278" s="4">
        <f>ROUND(Source!AT260,O278)</f>
        <v>0</v>
      </c>
      <c r="G278" s="4" t="s">
        <v>82</v>
      </c>
      <c r="H278" s="4" t="s">
        <v>83</v>
      </c>
      <c r="I278" s="4"/>
      <c r="J278" s="4"/>
      <c r="K278" s="4">
        <v>215</v>
      </c>
      <c r="L278" s="4">
        <v>17</v>
      </c>
      <c r="M278" s="4">
        <v>3</v>
      </c>
      <c r="N278" s="4" t="s">
        <v>3</v>
      </c>
      <c r="O278" s="4">
        <v>2</v>
      </c>
      <c r="P278" s="4"/>
      <c r="Q278" s="4"/>
      <c r="R278" s="4"/>
      <c r="S278" s="4"/>
      <c r="T278" s="4"/>
      <c r="U278" s="4"/>
      <c r="V278" s="4"/>
      <c r="W278" s="4"/>
    </row>
    <row r="279" spans="1:23" x14ac:dyDescent="0.2">
      <c r="A279" s="4">
        <v>50</v>
      </c>
      <c r="B279" s="4">
        <v>0</v>
      </c>
      <c r="C279" s="4">
        <v>0</v>
      </c>
      <c r="D279" s="4">
        <v>1</v>
      </c>
      <c r="E279" s="4">
        <v>217</v>
      </c>
      <c r="F279" s="4">
        <f>ROUND(Source!AU260,O279)</f>
        <v>1873953.64</v>
      </c>
      <c r="G279" s="4" t="s">
        <v>84</v>
      </c>
      <c r="H279" s="4" t="s">
        <v>85</v>
      </c>
      <c r="I279" s="4"/>
      <c r="J279" s="4"/>
      <c r="K279" s="4">
        <v>217</v>
      </c>
      <c r="L279" s="4">
        <v>18</v>
      </c>
      <c r="M279" s="4">
        <v>3</v>
      </c>
      <c r="N279" s="4" t="s">
        <v>3</v>
      </c>
      <c r="O279" s="4">
        <v>2</v>
      </c>
      <c r="P279" s="4"/>
      <c r="Q279" s="4"/>
      <c r="R279" s="4"/>
      <c r="S279" s="4"/>
      <c r="T279" s="4"/>
      <c r="U279" s="4"/>
      <c r="V279" s="4"/>
      <c r="W279" s="4"/>
    </row>
    <row r="280" spans="1:23" x14ac:dyDescent="0.2">
      <c r="A280" s="4">
        <v>50</v>
      </c>
      <c r="B280" s="4">
        <v>0</v>
      </c>
      <c r="C280" s="4">
        <v>0</v>
      </c>
      <c r="D280" s="4">
        <v>1</v>
      </c>
      <c r="E280" s="4">
        <v>230</v>
      </c>
      <c r="F280" s="4">
        <f>ROUND(Source!BA260,O280)</f>
        <v>0</v>
      </c>
      <c r="G280" s="4" t="s">
        <v>86</v>
      </c>
      <c r="H280" s="4" t="s">
        <v>87</v>
      </c>
      <c r="I280" s="4"/>
      <c r="J280" s="4"/>
      <c r="K280" s="4">
        <v>230</v>
      </c>
      <c r="L280" s="4">
        <v>19</v>
      </c>
      <c r="M280" s="4">
        <v>3</v>
      </c>
      <c r="N280" s="4" t="s">
        <v>3</v>
      </c>
      <c r="O280" s="4">
        <v>2</v>
      </c>
      <c r="P280" s="4"/>
      <c r="Q280" s="4"/>
      <c r="R280" s="4"/>
      <c r="S280" s="4"/>
      <c r="T280" s="4"/>
      <c r="U280" s="4"/>
      <c r="V280" s="4"/>
      <c r="W280" s="4"/>
    </row>
    <row r="281" spans="1:23" x14ac:dyDescent="0.2">
      <c r="A281" s="4">
        <v>50</v>
      </c>
      <c r="B281" s="4">
        <v>0</v>
      </c>
      <c r="C281" s="4">
        <v>0</v>
      </c>
      <c r="D281" s="4">
        <v>1</v>
      </c>
      <c r="E281" s="4">
        <v>206</v>
      </c>
      <c r="F281" s="4">
        <f>ROUND(Source!T260,O281)</f>
        <v>0</v>
      </c>
      <c r="G281" s="4" t="s">
        <v>88</v>
      </c>
      <c r="H281" s="4" t="s">
        <v>89</v>
      </c>
      <c r="I281" s="4"/>
      <c r="J281" s="4"/>
      <c r="K281" s="4">
        <v>206</v>
      </c>
      <c r="L281" s="4">
        <v>20</v>
      </c>
      <c r="M281" s="4">
        <v>3</v>
      </c>
      <c r="N281" s="4" t="s">
        <v>3</v>
      </c>
      <c r="O281" s="4">
        <v>2</v>
      </c>
      <c r="P281" s="4"/>
      <c r="Q281" s="4"/>
      <c r="R281" s="4"/>
      <c r="S281" s="4"/>
      <c r="T281" s="4"/>
      <c r="U281" s="4"/>
      <c r="V281" s="4"/>
      <c r="W281" s="4"/>
    </row>
    <row r="282" spans="1:23" x14ac:dyDescent="0.2">
      <c r="A282" s="4">
        <v>50</v>
      </c>
      <c r="B282" s="4">
        <v>0</v>
      </c>
      <c r="C282" s="4">
        <v>0</v>
      </c>
      <c r="D282" s="4">
        <v>1</v>
      </c>
      <c r="E282" s="4">
        <v>207</v>
      </c>
      <c r="F282" s="4">
        <f>Source!U260</f>
        <v>1121.0943500000001</v>
      </c>
      <c r="G282" s="4" t="s">
        <v>90</v>
      </c>
      <c r="H282" s="4" t="s">
        <v>91</v>
      </c>
      <c r="I282" s="4"/>
      <c r="J282" s="4"/>
      <c r="K282" s="4">
        <v>207</v>
      </c>
      <c r="L282" s="4">
        <v>21</v>
      </c>
      <c r="M282" s="4">
        <v>3</v>
      </c>
      <c r="N282" s="4" t="s">
        <v>3</v>
      </c>
      <c r="O282" s="4">
        <v>-1</v>
      </c>
      <c r="P282" s="4"/>
      <c r="Q282" s="4"/>
      <c r="R282" s="4"/>
      <c r="S282" s="4"/>
      <c r="T282" s="4"/>
      <c r="U282" s="4"/>
      <c r="V282" s="4"/>
      <c r="W282" s="4"/>
    </row>
    <row r="283" spans="1:23" x14ac:dyDescent="0.2">
      <c r="A283" s="4">
        <v>50</v>
      </c>
      <c r="B283" s="4">
        <v>0</v>
      </c>
      <c r="C283" s="4">
        <v>0</v>
      </c>
      <c r="D283" s="4">
        <v>1</v>
      </c>
      <c r="E283" s="4">
        <v>208</v>
      </c>
      <c r="F283" s="4">
        <f>Source!V260</f>
        <v>0</v>
      </c>
      <c r="G283" s="4" t="s">
        <v>92</v>
      </c>
      <c r="H283" s="4" t="s">
        <v>93</v>
      </c>
      <c r="I283" s="4"/>
      <c r="J283" s="4"/>
      <c r="K283" s="4">
        <v>208</v>
      </c>
      <c r="L283" s="4">
        <v>22</v>
      </c>
      <c r="M283" s="4">
        <v>3</v>
      </c>
      <c r="N283" s="4" t="s">
        <v>3</v>
      </c>
      <c r="O283" s="4">
        <v>-1</v>
      </c>
      <c r="P283" s="4"/>
      <c r="Q283" s="4"/>
      <c r="R283" s="4"/>
      <c r="S283" s="4"/>
      <c r="T283" s="4"/>
      <c r="U283" s="4"/>
      <c r="V283" s="4"/>
      <c r="W283" s="4"/>
    </row>
    <row r="284" spans="1:23" x14ac:dyDescent="0.2">
      <c r="A284" s="4">
        <v>50</v>
      </c>
      <c r="B284" s="4">
        <v>0</v>
      </c>
      <c r="C284" s="4">
        <v>0</v>
      </c>
      <c r="D284" s="4">
        <v>1</v>
      </c>
      <c r="E284" s="4">
        <v>209</v>
      </c>
      <c r="F284" s="4">
        <f>ROUND(Source!W260,O284)</f>
        <v>0</v>
      </c>
      <c r="G284" s="4" t="s">
        <v>94</v>
      </c>
      <c r="H284" s="4" t="s">
        <v>95</v>
      </c>
      <c r="I284" s="4"/>
      <c r="J284" s="4"/>
      <c r="K284" s="4">
        <v>209</v>
      </c>
      <c r="L284" s="4">
        <v>23</v>
      </c>
      <c r="M284" s="4">
        <v>3</v>
      </c>
      <c r="N284" s="4" t="s">
        <v>3</v>
      </c>
      <c r="O284" s="4">
        <v>2</v>
      </c>
      <c r="P284" s="4"/>
      <c r="Q284" s="4"/>
      <c r="R284" s="4"/>
      <c r="S284" s="4"/>
      <c r="T284" s="4"/>
      <c r="U284" s="4"/>
      <c r="V284" s="4"/>
      <c r="W284" s="4"/>
    </row>
    <row r="285" spans="1:23" x14ac:dyDescent="0.2">
      <c r="A285" s="4">
        <v>50</v>
      </c>
      <c r="B285" s="4">
        <v>0</v>
      </c>
      <c r="C285" s="4">
        <v>0</v>
      </c>
      <c r="D285" s="4">
        <v>1</v>
      </c>
      <c r="E285" s="4">
        <v>233</v>
      </c>
      <c r="F285" s="4">
        <f>ROUND(Source!BD260,O285)</f>
        <v>0</v>
      </c>
      <c r="G285" s="4" t="s">
        <v>96</v>
      </c>
      <c r="H285" s="4" t="s">
        <v>97</v>
      </c>
      <c r="I285" s="4"/>
      <c r="J285" s="4"/>
      <c r="K285" s="4">
        <v>233</v>
      </c>
      <c r="L285" s="4">
        <v>24</v>
      </c>
      <c r="M285" s="4">
        <v>3</v>
      </c>
      <c r="N285" s="4" t="s">
        <v>3</v>
      </c>
      <c r="O285" s="4">
        <v>2</v>
      </c>
      <c r="P285" s="4"/>
      <c r="Q285" s="4"/>
      <c r="R285" s="4"/>
      <c r="S285" s="4"/>
      <c r="T285" s="4"/>
      <c r="U285" s="4"/>
      <c r="V285" s="4"/>
      <c r="W285" s="4"/>
    </row>
    <row r="286" spans="1:23" x14ac:dyDescent="0.2">
      <c r="A286" s="4">
        <v>50</v>
      </c>
      <c r="B286" s="4">
        <v>0</v>
      </c>
      <c r="C286" s="4">
        <v>0</v>
      </c>
      <c r="D286" s="4">
        <v>1</v>
      </c>
      <c r="E286" s="4">
        <v>210</v>
      </c>
      <c r="F286" s="4">
        <f>ROUND(Source!X260,O286)</f>
        <v>176406.09</v>
      </c>
      <c r="G286" s="4" t="s">
        <v>98</v>
      </c>
      <c r="H286" s="4" t="s">
        <v>99</v>
      </c>
      <c r="I286" s="4"/>
      <c r="J286" s="4"/>
      <c r="K286" s="4">
        <v>210</v>
      </c>
      <c r="L286" s="4">
        <v>25</v>
      </c>
      <c r="M286" s="4">
        <v>3</v>
      </c>
      <c r="N286" s="4" t="s">
        <v>3</v>
      </c>
      <c r="O286" s="4">
        <v>2</v>
      </c>
      <c r="P286" s="4"/>
      <c r="Q286" s="4"/>
      <c r="R286" s="4"/>
      <c r="S286" s="4"/>
      <c r="T286" s="4"/>
      <c r="U286" s="4"/>
      <c r="V286" s="4"/>
      <c r="W286" s="4"/>
    </row>
    <row r="287" spans="1:23" x14ac:dyDescent="0.2">
      <c r="A287" s="4">
        <v>50</v>
      </c>
      <c r="B287" s="4">
        <v>0</v>
      </c>
      <c r="C287" s="4">
        <v>0</v>
      </c>
      <c r="D287" s="4">
        <v>1</v>
      </c>
      <c r="E287" s="4">
        <v>211</v>
      </c>
      <c r="F287" s="4">
        <f>ROUND(Source!Y260,O287)</f>
        <v>25200.89</v>
      </c>
      <c r="G287" s="4" t="s">
        <v>100</v>
      </c>
      <c r="H287" s="4" t="s">
        <v>101</v>
      </c>
      <c r="I287" s="4"/>
      <c r="J287" s="4"/>
      <c r="K287" s="4">
        <v>211</v>
      </c>
      <c r="L287" s="4">
        <v>26</v>
      </c>
      <c r="M287" s="4">
        <v>3</v>
      </c>
      <c r="N287" s="4" t="s">
        <v>3</v>
      </c>
      <c r="O287" s="4">
        <v>2</v>
      </c>
      <c r="P287" s="4"/>
      <c r="Q287" s="4"/>
      <c r="R287" s="4"/>
      <c r="S287" s="4"/>
      <c r="T287" s="4"/>
      <c r="U287" s="4"/>
      <c r="V287" s="4"/>
      <c r="W287" s="4"/>
    </row>
    <row r="288" spans="1:23" x14ac:dyDescent="0.2">
      <c r="A288" s="4">
        <v>50</v>
      </c>
      <c r="B288" s="4">
        <v>0</v>
      </c>
      <c r="C288" s="4">
        <v>0</v>
      </c>
      <c r="D288" s="4">
        <v>1</v>
      </c>
      <c r="E288" s="4">
        <v>224</v>
      </c>
      <c r="F288" s="4">
        <f>ROUND(Source!AR260,O288)</f>
        <v>1873953.64</v>
      </c>
      <c r="G288" s="4" t="s">
        <v>102</v>
      </c>
      <c r="H288" s="4" t="s">
        <v>103</v>
      </c>
      <c r="I288" s="4"/>
      <c r="J288" s="4"/>
      <c r="K288" s="4">
        <v>224</v>
      </c>
      <c r="L288" s="4">
        <v>27</v>
      </c>
      <c r="M288" s="4">
        <v>3</v>
      </c>
      <c r="N288" s="4" t="s">
        <v>3</v>
      </c>
      <c r="O288" s="4">
        <v>2</v>
      </c>
      <c r="P288" s="4"/>
      <c r="Q288" s="4"/>
      <c r="R288" s="4"/>
      <c r="S288" s="4"/>
      <c r="T288" s="4"/>
      <c r="U288" s="4"/>
      <c r="V288" s="4"/>
      <c r="W288" s="4"/>
    </row>
    <row r="290" spans="1:245" x14ac:dyDescent="0.2">
      <c r="A290" s="1">
        <v>4</v>
      </c>
      <c r="B290" s="1">
        <v>1</v>
      </c>
      <c r="C290" s="1"/>
      <c r="D290" s="1">
        <f>ROW(A372)</f>
        <v>372</v>
      </c>
      <c r="E290" s="1"/>
      <c r="F290" s="1" t="s">
        <v>12</v>
      </c>
      <c r="G290" s="1" t="s">
        <v>254</v>
      </c>
      <c r="H290" s="1" t="s">
        <v>3</v>
      </c>
      <c r="I290" s="1">
        <v>0</v>
      </c>
      <c r="J290" s="1"/>
      <c r="K290" s="1">
        <v>0</v>
      </c>
      <c r="L290" s="1"/>
      <c r="M290" s="1"/>
      <c r="N290" s="1"/>
      <c r="O290" s="1"/>
      <c r="P290" s="1"/>
      <c r="Q290" s="1"/>
      <c r="R290" s="1"/>
      <c r="S290" s="1"/>
      <c r="T290" s="1"/>
      <c r="U290" s="1" t="s">
        <v>3</v>
      </c>
      <c r="V290" s="1">
        <v>0</v>
      </c>
      <c r="W290" s="1"/>
      <c r="X290" s="1"/>
      <c r="Y290" s="1"/>
      <c r="Z290" s="1"/>
      <c r="AA290" s="1"/>
      <c r="AB290" s="1" t="s">
        <v>3</v>
      </c>
      <c r="AC290" s="1" t="s">
        <v>3</v>
      </c>
      <c r="AD290" s="1" t="s">
        <v>3</v>
      </c>
      <c r="AE290" s="1" t="s">
        <v>3</v>
      </c>
      <c r="AF290" s="1" t="s">
        <v>3</v>
      </c>
      <c r="AG290" s="1" t="s">
        <v>3</v>
      </c>
      <c r="AH290" s="1"/>
      <c r="AI290" s="1"/>
      <c r="AJ290" s="1"/>
      <c r="AK290" s="1"/>
      <c r="AL290" s="1"/>
      <c r="AM290" s="1"/>
      <c r="AN290" s="1"/>
      <c r="AO290" s="1"/>
      <c r="AP290" s="1" t="s">
        <v>3</v>
      </c>
      <c r="AQ290" s="1" t="s">
        <v>3</v>
      </c>
      <c r="AR290" s="1" t="s">
        <v>3</v>
      </c>
      <c r="AS290" s="1"/>
      <c r="AT290" s="1"/>
      <c r="AU290" s="1"/>
      <c r="AV290" s="1"/>
      <c r="AW290" s="1"/>
      <c r="AX290" s="1"/>
      <c r="AY290" s="1"/>
      <c r="AZ290" s="1" t="s">
        <v>3</v>
      </c>
      <c r="BA290" s="1"/>
      <c r="BB290" s="1" t="s">
        <v>3</v>
      </c>
      <c r="BC290" s="1" t="s">
        <v>3</v>
      </c>
      <c r="BD290" s="1" t="s">
        <v>3</v>
      </c>
      <c r="BE290" s="1" t="s">
        <v>3</v>
      </c>
      <c r="BF290" s="1" t="s">
        <v>3</v>
      </c>
      <c r="BG290" s="1" t="s">
        <v>3</v>
      </c>
      <c r="BH290" s="1" t="s">
        <v>3</v>
      </c>
      <c r="BI290" s="1" t="s">
        <v>3</v>
      </c>
      <c r="BJ290" s="1" t="s">
        <v>3</v>
      </c>
      <c r="BK290" s="1" t="s">
        <v>3</v>
      </c>
      <c r="BL290" s="1" t="s">
        <v>3</v>
      </c>
      <c r="BM290" s="1" t="s">
        <v>3</v>
      </c>
      <c r="BN290" s="1" t="s">
        <v>3</v>
      </c>
      <c r="BO290" s="1" t="s">
        <v>3</v>
      </c>
      <c r="BP290" s="1" t="s">
        <v>3</v>
      </c>
      <c r="BQ290" s="1"/>
      <c r="BR290" s="1"/>
      <c r="BS290" s="1"/>
      <c r="BT290" s="1"/>
      <c r="BU290" s="1"/>
      <c r="BV290" s="1"/>
      <c r="BW290" s="1"/>
      <c r="BX290" s="1">
        <v>0</v>
      </c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>
        <v>0</v>
      </c>
    </row>
    <row r="292" spans="1:245" x14ac:dyDescent="0.2">
      <c r="A292" s="2">
        <v>52</v>
      </c>
      <c r="B292" s="2">
        <f t="shared" ref="B292:G292" si="154">B372</f>
        <v>1</v>
      </c>
      <c r="C292" s="2">
        <f t="shared" si="154"/>
        <v>4</v>
      </c>
      <c r="D292" s="2">
        <f t="shared" si="154"/>
        <v>290</v>
      </c>
      <c r="E292" s="2">
        <f t="shared" si="154"/>
        <v>0</v>
      </c>
      <c r="F292" s="2" t="str">
        <f t="shared" si="154"/>
        <v>Новый раздел</v>
      </c>
      <c r="G292" s="2" t="str">
        <f t="shared" si="154"/>
        <v>Контейнерная площадка</v>
      </c>
      <c r="H292" s="2"/>
      <c r="I292" s="2"/>
      <c r="J292" s="2"/>
      <c r="K292" s="2"/>
      <c r="L292" s="2"/>
      <c r="M292" s="2"/>
      <c r="N292" s="2"/>
      <c r="O292" s="2">
        <f t="shared" ref="O292:AT292" si="155">O372</f>
        <v>63713.38</v>
      </c>
      <c r="P292" s="2">
        <f t="shared" si="155"/>
        <v>44522.31</v>
      </c>
      <c r="Q292" s="2">
        <f t="shared" si="155"/>
        <v>2739.28</v>
      </c>
      <c r="R292" s="2">
        <f t="shared" si="155"/>
        <v>1854.26</v>
      </c>
      <c r="S292" s="2">
        <f t="shared" si="155"/>
        <v>16451.79</v>
      </c>
      <c r="T292" s="2">
        <f t="shared" si="155"/>
        <v>0</v>
      </c>
      <c r="U292" s="2">
        <f t="shared" si="155"/>
        <v>79.35575</v>
      </c>
      <c r="V292" s="2">
        <f t="shared" si="155"/>
        <v>0</v>
      </c>
      <c r="W292" s="2">
        <f t="shared" si="155"/>
        <v>0</v>
      </c>
      <c r="X292" s="2">
        <f t="shared" si="155"/>
        <v>11516.25</v>
      </c>
      <c r="Y292" s="2">
        <f t="shared" si="155"/>
        <v>1645.19</v>
      </c>
      <c r="Z292" s="2">
        <f t="shared" si="155"/>
        <v>0</v>
      </c>
      <c r="AA292" s="2">
        <f t="shared" si="155"/>
        <v>0</v>
      </c>
      <c r="AB292" s="2">
        <f t="shared" si="155"/>
        <v>0</v>
      </c>
      <c r="AC292" s="2">
        <f t="shared" si="155"/>
        <v>0</v>
      </c>
      <c r="AD292" s="2">
        <f t="shared" si="155"/>
        <v>0</v>
      </c>
      <c r="AE292" s="2">
        <f t="shared" si="155"/>
        <v>0</v>
      </c>
      <c r="AF292" s="2">
        <f t="shared" si="155"/>
        <v>0</v>
      </c>
      <c r="AG292" s="2">
        <f t="shared" si="155"/>
        <v>0</v>
      </c>
      <c r="AH292" s="2">
        <f t="shared" si="155"/>
        <v>0</v>
      </c>
      <c r="AI292" s="2">
        <f t="shared" si="155"/>
        <v>0</v>
      </c>
      <c r="AJ292" s="2">
        <f t="shared" si="155"/>
        <v>0</v>
      </c>
      <c r="AK292" s="2">
        <f t="shared" si="155"/>
        <v>0</v>
      </c>
      <c r="AL292" s="2">
        <f t="shared" si="155"/>
        <v>0</v>
      </c>
      <c r="AM292" s="2">
        <f t="shared" si="155"/>
        <v>0</v>
      </c>
      <c r="AN292" s="2">
        <f t="shared" si="155"/>
        <v>0</v>
      </c>
      <c r="AO292" s="2">
        <f t="shared" si="155"/>
        <v>0</v>
      </c>
      <c r="AP292" s="2">
        <f t="shared" si="155"/>
        <v>0</v>
      </c>
      <c r="AQ292" s="2">
        <f t="shared" si="155"/>
        <v>0</v>
      </c>
      <c r="AR292" s="2">
        <f t="shared" si="155"/>
        <v>78877.42</v>
      </c>
      <c r="AS292" s="2">
        <f t="shared" si="155"/>
        <v>0</v>
      </c>
      <c r="AT292" s="2">
        <f t="shared" si="155"/>
        <v>0</v>
      </c>
      <c r="AU292" s="2">
        <f t="shared" ref="AU292:BZ292" si="156">AU372</f>
        <v>78877.42</v>
      </c>
      <c r="AV292" s="2">
        <f t="shared" si="156"/>
        <v>44522.31</v>
      </c>
      <c r="AW292" s="2">
        <f t="shared" si="156"/>
        <v>44522.31</v>
      </c>
      <c r="AX292" s="2">
        <f t="shared" si="156"/>
        <v>0</v>
      </c>
      <c r="AY292" s="2">
        <f t="shared" si="156"/>
        <v>44522.31</v>
      </c>
      <c r="AZ292" s="2">
        <f t="shared" si="156"/>
        <v>0</v>
      </c>
      <c r="BA292" s="2">
        <f t="shared" si="156"/>
        <v>0</v>
      </c>
      <c r="BB292" s="2">
        <f t="shared" si="156"/>
        <v>0</v>
      </c>
      <c r="BC292" s="2">
        <f t="shared" si="156"/>
        <v>0</v>
      </c>
      <c r="BD292" s="2">
        <f t="shared" si="156"/>
        <v>0</v>
      </c>
      <c r="BE292" s="2">
        <f t="shared" si="156"/>
        <v>0</v>
      </c>
      <c r="BF292" s="2">
        <f t="shared" si="156"/>
        <v>0</v>
      </c>
      <c r="BG292" s="2">
        <f t="shared" si="156"/>
        <v>0</v>
      </c>
      <c r="BH292" s="2">
        <f t="shared" si="156"/>
        <v>0</v>
      </c>
      <c r="BI292" s="2">
        <f t="shared" si="156"/>
        <v>0</v>
      </c>
      <c r="BJ292" s="2">
        <f t="shared" si="156"/>
        <v>0</v>
      </c>
      <c r="BK292" s="2">
        <f t="shared" si="156"/>
        <v>0</v>
      </c>
      <c r="BL292" s="2">
        <f t="shared" si="156"/>
        <v>0</v>
      </c>
      <c r="BM292" s="2">
        <f t="shared" si="156"/>
        <v>0</v>
      </c>
      <c r="BN292" s="2">
        <f t="shared" si="156"/>
        <v>0</v>
      </c>
      <c r="BO292" s="2">
        <f t="shared" si="156"/>
        <v>0</v>
      </c>
      <c r="BP292" s="2">
        <f t="shared" si="156"/>
        <v>0</v>
      </c>
      <c r="BQ292" s="2">
        <f t="shared" si="156"/>
        <v>0</v>
      </c>
      <c r="BR292" s="2">
        <f t="shared" si="156"/>
        <v>0</v>
      </c>
      <c r="BS292" s="2">
        <f t="shared" si="156"/>
        <v>0</v>
      </c>
      <c r="BT292" s="2">
        <f t="shared" si="156"/>
        <v>0</v>
      </c>
      <c r="BU292" s="2">
        <f t="shared" si="156"/>
        <v>0</v>
      </c>
      <c r="BV292" s="2">
        <f t="shared" si="156"/>
        <v>0</v>
      </c>
      <c r="BW292" s="2">
        <f t="shared" si="156"/>
        <v>0</v>
      </c>
      <c r="BX292" s="2">
        <f t="shared" si="156"/>
        <v>0</v>
      </c>
      <c r="BY292" s="2">
        <f t="shared" si="156"/>
        <v>0</v>
      </c>
      <c r="BZ292" s="2">
        <f t="shared" si="156"/>
        <v>0</v>
      </c>
      <c r="CA292" s="2">
        <f t="shared" ref="CA292:DF292" si="157">CA372</f>
        <v>0</v>
      </c>
      <c r="CB292" s="2">
        <f t="shared" si="157"/>
        <v>0</v>
      </c>
      <c r="CC292" s="2">
        <f t="shared" si="157"/>
        <v>0</v>
      </c>
      <c r="CD292" s="2">
        <f t="shared" si="157"/>
        <v>0</v>
      </c>
      <c r="CE292" s="2">
        <f t="shared" si="157"/>
        <v>0</v>
      </c>
      <c r="CF292" s="2">
        <f t="shared" si="157"/>
        <v>0</v>
      </c>
      <c r="CG292" s="2">
        <f t="shared" si="157"/>
        <v>0</v>
      </c>
      <c r="CH292" s="2">
        <f t="shared" si="157"/>
        <v>0</v>
      </c>
      <c r="CI292" s="2">
        <f t="shared" si="157"/>
        <v>0</v>
      </c>
      <c r="CJ292" s="2">
        <f t="shared" si="157"/>
        <v>0</v>
      </c>
      <c r="CK292" s="2">
        <f t="shared" si="157"/>
        <v>0</v>
      </c>
      <c r="CL292" s="2">
        <f t="shared" si="157"/>
        <v>0</v>
      </c>
      <c r="CM292" s="2">
        <f t="shared" si="157"/>
        <v>0</v>
      </c>
      <c r="CN292" s="2">
        <f t="shared" si="157"/>
        <v>0</v>
      </c>
      <c r="CO292" s="2">
        <f t="shared" si="157"/>
        <v>0</v>
      </c>
      <c r="CP292" s="2">
        <f t="shared" si="157"/>
        <v>0</v>
      </c>
      <c r="CQ292" s="2">
        <f t="shared" si="157"/>
        <v>0</v>
      </c>
      <c r="CR292" s="2">
        <f t="shared" si="157"/>
        <v>0</v>
      </c>
      <c r="CS292" s="2">
        <f t="shared" si="157"/>
        <v>0</v>
      </c>
      <c r="CT292" s="2">
        <f t="shared" si="157"/>
        <v>0</v>
      </c>
      <c r="CU292" s="2">
        <f t="shared" si="157"/>
        <v>0</v>
      </c>
      <c r="CV292" s="2">
        <f t="shared" si="157"/>
        <v>0</v>
      </c>
      <c r="CW292" s="2">
        <f t="shared" si="157"/>
        <v>0</v>
      </c>
      <c r="CX292" s="2">
        <f t="shared" si="157"/>
        <v>0</v>
      </c>
      <c r="CY292" s="2">
        <f t="shared" si="157"/>
        <v>0</v>
      </c>
      <c r="CZ292" s="2">
        <f t="shared" si="157"/>
        <v>0</v>
      </c>
      <c r="DA292" s="2">
        <f t="shared" si="157"/>
        <v>0</v>
      </c>
      <c r="DB292" s="2">
        <f t="shared" si="157"/>
        <v>0</v>
      </c>
      <c r="DC292" s="2">
        <f t="shared" si="157"/>
        <v>0</v>
      </c>
      <c r="DD292" s="2">
        <f t="shared" si="157"/>
        <v>0</v>
      </c>
      <c r="DE292" s="2">
        <f t="shared" si="157"/>
        <v>0</v>
      </c>
      <c r="DF292" s="2">
        <f t="shared" si="157"/>
        <v>0</v>
      </c>
      <c r="DG292" s="3">
        <f t="shared" ref="DG292:EL292" si="158">DG372</f>
        <v>0</v>
      </c>
      <c r="DH292" s="3">
        <f t="shared" si="158"/>
        <v>0</v>
      </c>
      <c r="DI292" s="3">
        <f t="shared" si="158"/>
        <v>0</v>
      </c>
      <c r="DJ292" s="3">
        <f t="shared" si="158"/>
        <v>0</v>
      </c>
      <c r="DK292" s="3">
        <f t="shared" si="158"/>
        <v>0</v>
      </c>
      <c r="DL292" s="3">
        <f t="shared" si="158"/>
        <v>0</v>
      </c>
      <c r="DM292" s="3">
        <f t="shared" si="158"/>
        <v>0</v>
      </c>
      <c r="DN292" s="3">
        <f t="shared" si="158"/>
        <v>0</v>
      </c>
      <c r="DO292" s="3">
        <f t="shared" si="158"/>
        <v>0</v>
      </c>
      <c r="DP292" s="3">
        <f t="shared" si="158"/>
        <v>0</v>
      </c>
      <c r="DQ292" s="3">
        <f t="shared" si="158"/>
        <v>0</v>
      </c>
      <c r="DR292" s="3">
        <f t="shared" si="158"/>
        <v>0</v>
      </c>
      <c r="DS292" s="3">
        <f t="shared" si="158"/>
        <v>0</v>
      </c>
      <c r="DT292" s="3">
        <f t="shared" si="158"/>
        <v>0</v>
      </c>
      <c r="DU292" s="3">
        <f t="shared" si="158"/>
        <v>0</v>
      </c>
      <c r="DV292" s="3">
        <f t="shared" si="158"/>
        <v>0</v>
      </c>
      <c r="DW292" s="3">
        <f t="shared" si="158"/>
        <v>0</v>
      </c>
      <c r="DX292" s="3">
        <f t="shared" si="158"/>
        <v>0</v>
      </c>
      <c r="DY292" s="3">
        <f t="shared" si="158"/>
        <v>0</v>
      </c>
      <c r="DZ292" s="3">
        <f t="shared" si="158"/>
        <v>0</v>
      </c>
      <c r="EA292" s="3">
        <f t="shared" si="158"/>
        <v>0</v>
      </c>
      <c r="EB292" s="3">
        <f t="shared" si="158"/>
        <v>0</v>
      </c>
      <c r="EC292" s="3">
        <f t="shared" si="158"/>
        <v>0</v>
      </c>
      <c r="ED292" s="3">
        <f t="shared" si="158"/>
        <v>0</v>
      </c>
      <c r="EE292" s="3">
        <f t="shared" si="158"/>
        <v>0</v>
      </c>
      <c r="EF292" s="3">
        <f t="shared" si="158"/>
        <v>0</v>
      </c>
      <c r="EG292" s="3">
        <f t="shared" si="158"/>
        <v>0</v>
      </c>
      <c r="EH292" s="3">
        <f t="shared" si="158"/>
        <v>0</v>
      </c>
      <c r="EI292" s="3">
        <f t="shared" si="158"/>
        <v>0</v>
      </c>
      <c r="EJ292" s="3">
        <f t="shared" si="158"/>
        <v>0</v>
      </c>
      <c r="EK292" s="3">
        <f t="shared" si="158"/>
        <v>0</v>
      </c>
      <c r="EL292" s="3">
        <f t="shared" si="158"/>
        <v>0</v>
      </c>
      <c r="EM292" s="3">
        <f t="shared" ref="EM292:FR292" si="159">EM372</f>
        <v>0</v>
      </c>
      <c r="EN292" s="3">
        <f t="shared" si="159"/>
        <v>0</v>
      </c>
      <c r="EO292" s="3">
        <f t="shared" si="159"/>
        <v>0</v>
      </c>
      <c r="EP292" s="3">
        <f t="shared" si="159"/>
        <v>0</v>
      </c>
      <c r="EQ292" s="3">
        <f t="shared" si="159"/>
        <v>0</v>
      </c>
      <c r="ER292" s="3">
        <f t="shared" si="159"/>
        <v>0</v>
      </c>
      <c r="ES292" s="3">
        <f t="shared" si="159"/>
        <v>0</v>
      </c>
      <c r="ET292" s="3">
        <f t="shared" si="159"/>
        <v>0</v>
      </c>
      <c r="EU292" s="3">
        <f t="shared" si="159"/>
        <v>0</v>
      </c>
      <c r="EV292" s="3">
        <f t="shared" si="159"/>
        <v>0</v>
      </c>
      <c r="EW292" s="3">
        <f t="shared" si="159"/>
        <v>0</v>
      </c>
      <c r="EX292" s="3">
        <f t="shared" si="159"/>
        <v>0</v>
      </c>
      <c r="EY292" s="3">
        <f t="shared" si="159"/>
        <v>0</v>
      </c>
      <c r="EZ292" s="3">
        <f t="shared" si="159"/>
        <v>0</v>
      </c>
      <c r="FA292" s="3">
        <f t="shared" si="159"/>
        <v>0</v>
      </c>
      <c r="FB292" s="3">
        <f t="shared" si="159"/>
        <v>0</v>
      </c>
      <c r="FC292" s="3">
        <f t="shared" si="159"/>
        <v>0</v>
      </c>
      <c r="FD292" s="3">
        <f t="shared" si="159"/>
        <v>0</v>
      </c>
      <c r="FE292" s="3">
        <f t="shared" si="159"/>
        <v>0</v>
      </c>
      <c r="FF292" s="3">
        <f t="shared" si="159"/>
        <v>0</v>
      </c>
      <c r="FG292" s="3">
        <f t="shared" si="159"/>
        <v>0</v>
      </c>
      <c r="FH292" s="3">
        <f t="shared" si="159"/>
        <v>0</v>
      </c>
      <c r="FI292" s="3">
        <f t="shared" si="159"/>
        <v>0</v>
      </c>
      <c r="FJ292" s="3">
        <f t="shared" si="159"/>
        <v>0</v>
      </c>
      <c r="FK292" s="3">
        <f t="shared" si="159"/>
        <v>0</v>
      </c>
      <c r="FL292" s="3">
        <f t="shared" si="159"/>
        <v>0</v>
      </c>
      <c r="FM292" s="3">
        <f t="shared" si="159"/>
        <v>0</v>
      </c>
      <c r="FN292" s="3">
        <f t="shared" si="159"/>
        <v>0</v>
      </c>
      <c r="FO292" s="3">
        <f t="shared" si="159"/>
        <v>0</v>
      </c>
      <c r="FP292" s="3">
        <f t="shared" si="159"/>
        <v>0</v>
      </c>
      <c r="FQ292" s="3">
        <f t="shared" si="159"/>
        <v>0</v>
      </c>
      <c r="FR292" s="3">
        <f t="shared" si="159"/>
        <v>0</v>
      </c>
      <c r="FS292" s="3">
        <f t="shared" ref="FS292:GX292" si="160">FS372</f>
        <v>0</v>
      </c>
      <c r="FT292" s="3">
        <f t="shared" si="160"/>
        <v>0</v>
      </c>
      <c r="FU292" s="3">
        <f t="shared" si="160"/>
        <v>0</v>
      </c>
      <c r="FV292" s="3">
        <f t="shared" si="160"/>
        <v>0</v>
      </c>
      <c r="FW292" s="3">
        <f t="shared" si="160"/>
        <v>0</v>
      </c>
      <c r="FX292" s="3">
        <f t="shared" si="160"/>
        <v>0</v>
      </c>
      <c r="FY292" s="3">
        <f t="shared" si="160"/>
        <v>0</v>
      </c>
      <c r="FZ292" s="3">
        <f t="shared" si="160"/>
        <v>0</v>
      </c>
      <c r="GA292" s="3">
        <f t="shared" si="160"/>
        <v>0</v>
      </c>
      <c r="GB292" s="3">
        <f t="shared" si="160"/>
        <v>0</v>
      </c>
      <c r="GC292" s="3">
        <f t="shared" si="160"/>
        <v>0</v>
      </c>
      <c r="GD292" s="3">
        <f t="shared" si="160"/>
        <v>0</v>
      </c>
      <c r="GE292" s="3">
        <f t="shared" si="160"/>
        <v>0</v>
      </c>
      <c r="GF292" s="3">
        <f t="shared" si="160"/>
        <v>0</v>
      </c>
      <c r="GG292" s="3">
        <f t="shared" si="160"/>
        <v>0</v>
      </c>
      <c r="GH292" s="3">
        <f t="shared" si="160"/>
        <v>0</v>
      </c>
      <c r="GI292" s="3">
        <f t="shared" si="160"/>
        <v>0</v>
      </c>
      <c r="GJ292" s="3">
        <f t="shared" si="160"/>
        <v>0</v>
      </c>
      <c r="GK292" s="3">
        <f t="shared" si="160"/>
        <v>0</v>
      </c>
      <c r="GL292" s="3">
        <f t="shared" si="160"/>
        <v>0</v>
      </c>
      <c r="GM292" s="3">
        <f t="shared" si="160"/>
        <v>0</v>
      </c>
      <c r="GN292" s="3">
        <f t="shared" si="160"/>
        <v>0</v>
      </c>
      <c r="GO292" s="3">
        <f t="shared" si="160"/>
        <v>0</v>
      </c>
      <c r="GP292" s="3">
        <f t="shared" si="160"/>
        <v>0</v>
      </c>
      <c r="GQ292" s="3">
        <f t="shared" si="160"/>
        <v>0</v>
      </c>
      <c r="GR292" s="3">
        <f t="shared" si="160"/>
        <v>0</v>
      </c>
      <c r="GS292" s="3">
        <f t="shared" si="160"/>
        <v>0</v>
      </c>
      <c r="GT292" s="3">
        <f t="shared" si="160"/>
        <v>0</v>
      </c>
      <c r="GU292" s="3">
        <f t="shared" si="160"/>
        <v>0</v>
      </c>
      <c r="GV292" s="3">
        <f t="shared" si="160"/>
        <v>0</v>
      </c>
      <c r="GW292" s="3">
        <f t="shared" si="160"/>
        <v>0</v>
      </c>
      <c r="GX292" s="3">
        <f t="shared" si="160"/>
        <v>0</v>
      </c>
    </row>
    <row r="294" spans="1:245" x14ac:dyDescent="0.2">
      <c r="A294" s="1">
        <v>5</v>
      </c>
      <c r="B294" s="1">
        <v>1</v>
      </c>
      <c r="C294" s="1"/>
      <c r="D294" s="1">
        <f>ROW(A303)</f>
        <v>303</v>
      </c>
      <c r="E294" s="1"/>
      <c r="F294" s="1" t="s">
        <v>14</v>
      </c>
      <c r="G294" s="1" t="s">
        <v>15</v>
      </c>
      <c r="H294" s="1" t="s">
        <v>3</v>
      </c>
      <c r="I294" s="1">
        <v>0</v>
      </c>
      <c r="J294" s="1"/>
      <c r="K294" s="1">
        <v>0</v>
      </c>
      <c r="L294" s="1"/>
      <c r="M294" s="1"/>
      <c r="N294" s="1"/>
      <c r="O294" s="1"/>
      <c r="P294" s="1"/>
      <c r="Q294" s="1"/>
      <c r="R294" s="1"/>
      <c r="S294" s="1"/>
      <c r="T294" s="1"/>
      <c r="U294" s="1" t="s">
        <v>3</v>
      </c>
      <c r="V294" s="1">
        <v>0</v>
      </c>
      <c r="W294" s="1"/>
      <c r="X294" s="1"/>
      <c r="Y294" s="1"/>
      <c r="Z294" s="1"/>
      <c r="AA294" s="1"/>
      <c r="AB294" s="1" t="s">
        <v>3</v>
      </c>
      <c r="AC294" s="1" t="s">
        <v>3</v>
      </c>
      <c r="AD294" s="1" t="s">
        <v>3</v>
      </c>
      <c r="AE294" s="1" t="s">
        <v>3</v>
      </c>
      <c r="AF294" s="1" t="s">
        <v>3</v>
      </c>
      <c r="AG294" s="1" t="s">
        <v>3</v>
      </c>
      <c r="AH294" s="1"/>
      <c r="AI294" s="1"/>
      <c r="AJ294" s="1"/>
      <c r="AK294" s="1"/>
      <c r="AL294" s="1"/>
      <c r="AM294" s="1"/>
      <c r="AN294" s="1"/>
      <c r="AO294" s="1"/>
      <c r="AP294" s="1" t="s">
        <v>3</v>
      </c>
      <c r="AQ294" s="1" t="s">
        <v>3</v>
      </c>
      <c r="AR294" s="1" t="s">
        <v>3</v>
      </c>
      <c r="AS294" s="1"/>
      <c r="AT294" s="1"/>
      <c r="AU294" s="1"/>
      <c r="AV294" s="1"/>
      <c r="AW294" s="1"/>
      <c r="AX294" s="1"/>
      <c r="AY294" s="1"/>
      <c r="AZ294" s="1" t="s">
        <v>3</v>
      </c>
      <c r="BA294" s="1"/>
      <c r="BB294" s="1" t="s">
        <v>3</v>
      </c>
      <c r="BC294" s="1" t="s">
        <v>3</v>
      </c>
      <c r="BD294" s="1" t="s">
        <v>3</v>
      </c>
      <c r="BE294" s="1" t="s">
        <v>3</v>
      </c>
      <c r="BF294" s="1" t="s">
        <v>3</v>
      </c>
      <c r="BG294" s="1" t="s">
        <v>3</v>
      </c>
      <c r="BH294" s="1" t="s">
        <v>3</v>
      </c>
      <c r="BI294" s="1" t="s">
        <v>3</v>
      </c>
      <c r="BJ294" s="1" t="s">
        <v>3</v>
      </c>
      <c r="BK294" s="1" t="s">
        <v>3</v>
      </c>
      <c r="BL294" s="1" t="s">
        <v>3</v>
      </c>
      <c r="BM294" s="1" t="s">
        <v>3</v>
      </c>
      <c r="BN294" s="1" t="s">
        <v>3</v>
      </c>
      <c r="BO294" s="1" t="s">
        <v>3</v>
      </c>
      <c r="BP294" s="1" t="s">
        <v>3</v>
      </c>
      <c r="BQ294" s="1"/>
      <c r="BR294" s="1"/>
      <c r="BS294" s="1"/>
      <c r="BT294" s="1"/>
      <c r="BU294" s="1"/>
      <c r="BV294" s="1"/>
      <c r="BW294" s="1"/>
      <c r="BX294" s="1">
        <v>0</v>
      </c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>
        <v>0</v>
      </c>
    </row>
    <row r="296" spans="1:245" x14ac:dyDescent="0.2">
      <c r="A296" s="2">
        <v>52</v>
      </c>
      <c r="B296" s="2">
        <f t="shared" ref="B296:G296" si="161">B303</f>
        <v>1</v>
      </c>
      <c r="C296" s="2">
        <f t="shared" si="161"/>
        <v>5</v>
      </c>
      <c r="D296" s="2">
        <f t="shared" si="161"/>
        <v>294</v>
      </c>
      <c r="E296" s="2">
        <f t="shared" si="161"/>
        <v>0</v>
      </c>
      <c r="F296" s="2" t="str">
        <f t="shared" si="161"/>
        <v>Новый подраздел</v>
      </c>
      <c r="G296" s="2" t="str">
        <f t="shared" si="161"/>
        <v>Демонтажные работы</v>
      </c>
      <c r="H296" s="2"/>
      <c r="I296" s="2"/>
      <c r="J296" s="2"/>
      <c r="K296" s="2"/>
      <c r="L296" s="2"/>
      <c r="M296" s="2"/>
      <c r="N296" s="2"/>
      <c r="O296" s="2">
        <f t="shared" ref="O296:AT296" si="162">O303</f>
        <v>9494.77</v>
      </c>
      <c r="P296" s="2">
        <f t="shared" si="162"/>
        <v>0</v>
      </c>
      <c r="Q296" s="2">
        <f t="shared" si="162"/>
        <v>2334.08</v>
      </c>
      <c r="R296" s="2">
        <f t="shared" si="162"/>
        <v>1742.56</v>
      </c>
      <c r="S296" s="2">
        <f t="shared" si="162"/>
        <v>7160.69</v>
      </c>
      <c r="T296" s="2">
        <f t="shared" si="162"/>
        <v>0</v>
      </c>
      <c r="U296" s="2">
        <f t="shared" si="162"/>
        <v>42.89575</v>
      </c>
      <c r="V296" s="2">
        <f t="shared" si="162"/>
        <v>0</v>
      </c>
      <c r="W296" s="2">
        <f t="shared" si="162"/>
        <v>0</v>
      </c>
      <c r="X296" s="2">
        <f t="shared" si="162"/>
        <v>5012.4799999999996</v>
      </c>
      <c r="Y296" s="2">
        <f t="shared" si="162"/>
        <v>716.07</v>
      </c>
      <c r="Z296" s="2">
        <f t="shared" si="162"/>
        <v>0</v>
      </c>
      <c r="AA296" s="2">
        <f t="shared" si="162"/>
        <v>0</v>
      </c>
      <c r="AB296" s="2">
        <f t="shared" si="162"/>
        <v>9494.77</v>
      </c>
      <c r="AC296" s="2">
        <f t="shared" si="162"/>
        <v>0</v>
      </c>
      <c r="AD296" s="2">
        <f t="shared" si="162"/>
        <v>2334.08</v>
      </c>
      <c r="AE296" s="2">
        <f t="shared" si="162"/>
        <v>1742.56</v>
      </c>
      <c r="AF296" s="2">
        <f t="shared" si="162"/>
        <v>7160.69</v>
      </c>
      <c r="AG296" s="2">
        <f t="shared" si="162"/>
        <v>0</v>
      </c>
      <c r="AH296" s="2">
        <f t="shared" si="162"/>
        <v>42.89575</v>
      </c>
      <c r="AI296" s="2">
        <f t="shared" si="162"/>
        <v>0</v>
      </c>
      <c r="AJ296" s="2">
        <f t="shared" si="162"/>
        <v>0</v>
      </c>
      <c r="AK296" s="2">
        <f t="shared" si="162"/>
        <v>5012.4799999999996</v>
      </c>
      <c r="AL296" s="2">
        <f t="shared" si="162"/>
        <v>716.07</v>
      </c>
      <c r="AM296" s="2">
        <f t="shared" si="162"/>
        <v>0</v>
      </c>
      <c r="AN296" s="2">
        <f t="shared" si="162"/>
        <v>0</v>
      </c>
      <c r="AO296" s="2">
        <f t="shared" si="162"/>
        <v>0</v>
      </c>
      <c r="AP296" s="2">
        <f t="shared" si="162"/>
        <v>0</v>
      </c>
      <c r="AQ296" s="2">
        <f t="shared" si="162"/>
        <v>0</v>
      </c>
      <c r="AR296" s="2">
        <f t="shared" si="162"/>
        <v>17105.29</v>
      </c>
      <c r="AS296" s="2">
        <f t="shared" si="162"/>
        <v>0</v>
      </c>
      <c r="AT296" s="2">
        <f t="shared" si="162"/>
        <v>0</v>
      </c>
      <c r="AU296" s="2">
        <f t="shared" ref="AU296:BZ296" si="163">AU303</f>
        <v>17105.29</v>
      </c>
      <c r="AV296" s="2">
        <f t="shared" si="163"/>
        <v>0</v>
      </c>
      <c r="AW296" s="2">
        <f t="shared" si="163"/>
        <v>0</v>
      </c>
      <c r="AX296" s="2">
        <f t="shared" si="163"/>
        <v>0</v>
      </c>
      <c r="AY296" s="2">
        <f t="shared" si="163"/>
        <v>0</v>
      </c>
      <c r="AZ296" s="2">
        <f t="shared" si="163"/>
        <v>0</v>
      </c>
      <c r="BA296" s="2">
        <f t="shared" si="163"/>
        <v>0</v>
      </c>
      <c r="BB296" s="2">
        <f t="shared" si="163"/>
        <v>0</v>
      </c>
      <c r="BC296" s="2">
        <f t="shared" si="163"/>
        <v>0</v>
      </c>
      <c r="BD296" s="2">
        <f t="shared" si="163"/>
        <v>0</v>
      </c>
      <c r="BE296" s="2">
        <f t="shared" si="163"/>
        <v>0</v>
      </c>
      <c r="BF296" s="2">
        <f t="shared" si="163"/>
        <v>0</v>
      </c>
      <c r="BG296" s="2">
        <f t="shared" si="163"/>
        <v>0</v>
      </c>
      <c r="BH296" s="2">
        <f t="shared" si="163"/>
        <v>0</v>
      </c>
      <c r="BI296" s="2">
        <f t="shared" si="163"/>
        <v>0</v>
      </c>
      <c r="BJ296" s="2">
        <f t="shared" si="163"/>
        <v>0</v>
      </c>
      <c r="BK296" s="2">
        <f t="shared" si="163"/>
        <v>0</v>
      </c>
      <c r="BL296" s="2">
        <f t="shared" si="163"/>
        <v>0</v>
      </c>
      <c r="BM296" s="2">
        <f t="shared" si="163"/>
        <v>0</v>
      </c>
      <c r="BN296" s="2">
        <f t="shared" si="163"/>
        <v>0</v>
      </c>
      <c r="BO296" s="2">
        <f t="shared" si="163"/>
        <v>0</v>
      </c>
      <c r="BP296" s="2">
        <f t="shared" si="163"/>
        <v>0</v>
      </c>
      <c r="BQ296" s="2">
        <f t="shared" si="163"/>
        <v>0</v>
      </c>
      <c r="BR296" s="2">
        <f t="shared" si="163"/>
        <v>0</v>
      </c>
      <c r="BS296" s="2">
        <f t="shared" si="163"/>
        <v>0</v>
      </c>
      <c r="BT296" s="2">
        <f t="shared" si="163"/>
        <v>0</v>
      </c>
      <c r="BU296" s="2">
        <f t="shared" si="163"/>
        <v>0</v>
      </c>
      <c r="BV296" s="2">
        <f t="shared" si="163"/>
        <v>0</v>
      </c>
      <c r="BW296" s="2">
        <f t="shared" si="163"/>
        <v>0</v>
      </c>
      <c r="BX296" s="2">
        <f t="shared" si="163"/>
        <v>0</v>
      </c>
      <c r="BY296" s="2">
        <f t="shared" si="163"/>
        <v>0</v>
      </c>
      <c r="BZ296" s="2">
        <f t="shared" si="163"/>
        <v>0</v>
      </c>
      <c r="CA296" s="2">
        <f t="shared" ref="CA296:DF296" si="164">CA303</f>
        <v>17105.29</v>
      </c>
      <c r="CB296" s="2">
        <f t="shared" si="164"/>
        <v>0</v>
      </c>
      <c r="CC296" s="2">
        <f t="shared" si="164"/>
        <v>0</v>
      </c>
      <c r="CD296" s="2">
        <f t="shared" si="164"/>
        <v>17105.29</v>
      </c>
      <c r="CE296" s="2">
        <f t="shared" si="164"/>
        <v>0</v>
      </c>
      <c r="CF296" s="2">
        <f t="shared" si="164"/>
        <v>0</v>
      </c>
      <c r="CG296" s="2">
        <f t="shared" si="164"/>
        <v>0</v>
      </c>
      <c r="CH296" s="2">
        <f t="shared" si="164"/>
        <v>0</v>
      </c>
      <c r="CI296" s="2">
        <f t="shared" si="164"/>
        <v>0</v>
      </c>
      <c r="CJ296" s="2">
        <f t="shared" si="164"/>
        <v>0</v>
      </c>
      <c r="CK296" s="2">
        <f t="shared" si="164"/>
        <v>0</v>
      </c>
      <c r="CL296" s="2">
        <f t="shared" si="164"/>
        <v>0</v>
      </c>
      <c r="CM296" s="2">
        <f t="shared" si="164"/>
        <v>0</v>
      </c>
      <c r="CN296" s="2">
        <f t="shared" si="164"/>
        <v>0</v>
      </c>
      <c r="CO296" s="2">
        <f t="shared" si="164"/>
        <v>0</v>
      </c>
      <c r="CP296" s="2">
        <f t="shared" si="164"/>
        <v>0</v>
      </c>
      <c r="CQ296" s="2">
        <f t="shared" si="164"/>
        <v>0</v>
      </c>
      <c r="CR296" s="2">
        <f t="shared" si="164"/>
        <v>0</v>
      </c>
      <c r="CS296" s="2">
        <f t="shared" si="164"/>
        <v>0</v>
      </c>
      <c r="CT296" s="2">
        <f t="shared" si="164"/>
        <v>0</v>
      </c>
      <c r="CU296" s="2">
        <f t="shared" si="164"/>
        <v>0</v>
      </c>
      <c r="CV296" s="2">
        <f t="shared" si="164"/>
        <v>0</v>
      </c>
      <c r="CW296" s="2">
        <f t="shared" si="164"/>
        <v>0</v>
      </c>
      <c r="CX296" s="2">
        <f t="shared" si="164"/>
        <v>0</v>
      </c>
      <c r="CY296" s="2">
        <f t="shared" si="164"/>
        <v>0</v>
      </c>
      <c r="CZ296" s="2">
        <f t="shared" si="164"/>
        <v>0</v>
      </c>
      <c r="DA296" s="2">
        <f t="shared" si="164"/>
        <v>0</v>
      </c>
      <c r="DB296" s="2">
        <f t="shared" si="164"/>
        <v>0</v>
      </c>
      <c r="DC296" s="2">
        <f t="shared" si="164"/>
        <v>0</v>
      </c>
      <c r="DD296" s="2">
        <f t="shared" si="164"/>
        <v>0</v>
      </c>
      <c r="DE296" s="2">
        <f t="shared" si="164"/>
        <v>0</v>
      </c>
      <c r="DF296" s="2">
        <f t="shared" si="164"/>
        <v>0</v>
      </c>
      <c r="DG296" s="3">
        <f t="shared" ref="DG296:EL296" si="165">DG303</f>
        <v>0</v>
      </c>
      <c r="DH296" s="3">
        <f t="shared" si="165"/>
        <v>0</v>
      </c>
      <c r="DI296" s="3">
        <f t="shared" si="165"/>
        <v>0</v>
      </c>
      <c r="DJ296" s="3">
        <f t="shared" si="165"/>
        <v>0</v>
      </c>
      <c r="DK296" s="3">
        <f t="shared" si="165"/>
        <v>0</v>
      </c>
      <c r="DL296" s="3">
        <f t="shared" si="165"/>
        <v>0</v>
      </c>
      <c r="DM296" s="3">
        <f t="shared" si="165"/>
        <v>0</v>
      </c>
      <c r="DN296" s="3">
        <f t="shared" si="165"/>
        <v>0</v>
      </c>
      <c r="DO296" s="3">
        <f t="shared" si="165"/>
        <v>0</v>
      </c>
      <c r="DP296" s="3">
        <f t="shared" si="165"/>
        <v>0</v>
      </c>
      <c r="DQ296" s="3">
        <f t="shared" si="165"/>
        <v>0</v>
      </c>
      <c r="DR296" s="3">
        <f t="shared" si="165"/>
        <v>0</v>
      </c>
      <c r="DS296" s="3">
        <f t="shared" si="165"/>
        <v>0</v>
      </c>
      <c r="DT296" s="3">
        <f t="shared" si="165"/>
        <v>0</v>
      </c>
      <c r="DU296" s="3">
        <f t="shared" si="165"/>
        <v>0</v>
      </c>
      <c r="DV296" s="3">
        <f t="shared" si="165"/>
        <v>0</v>
      </c>
      <c r="DW296" s="3">
        <f t="shared" si="165"/>
        <v>0</v>
      </c>
      <c r="DX296" s="3">
        <f t="shared" si="165"/>
        <v>0</v>
      </c>
      <c r="DY296" s="3">
        <f t="shared" si="165"/>
        <v>0</v>
      </c>
      <c r="DZ296" s="3">
        <f t="shared" si="165"/>
        <v>0</v>
      </c>
      <c r="EA296" s="3">
        <f t="shared" si="165"/>
        <v>0</v>
      </c>
      <c r="EB296" s="3">
        <f t="shared" si="165"/>
        <v>0</v>
      </c>
      <c r="EC296" s="3">
        <f t="shared" si="165"/>
        <v>0</v>
      </c>
      <c r="ED296" s="3">
        <f t="shared" si="165"/>
        <v>0</v>
      </c>
      <c r="EE296" s="3">
        <f t="shared" si="165"/>
        <v>0</v>
      </c>
      <c r="EF296" s="3">
        <f t="shared" si="165"/>
        <v>0</v>
      </c>
      <c r="EG296" s="3">
        <f t="shared" si="165"/>
        <v>0</v>
      </c>
      <c r="EH296" s="3">
        <f t="shared" si="165"/>
        <v>0</v>
      </c>
      <c r="EI296" s="3">
        <f t="shared" si="165"/>
        <v>0</v>
      </c>
      <c r="EJ296" s="3">
        <f t="shared" si="165"/>
        <v>0</v>
      </c>
      <c r="EK296" s="3">
        <f t="shared" si="165"/>
        <v>0</v>
      </c>
      <c r="EL296" s="3">
        <f t="shared" si="165"/>
        <v>0</v>
      </c>
      <c r="EM296" s="3">
        <f t="shared" ref="EM296:FR296" si="166">EM303</f>
        <v>0</v>
      </c>
      <c r="EN296" s="3">
        <f t="shared" si="166"/>
        <v>0</v>
      </c>
      <c r="EO296" s="3">
        <f t="shared" si="166"/>
        <v>0</v>
      </c>
      <c r="EP296" s="3">
        <f t="shared" si="166"/>
        <v>0</v>
      </c>
      <c r="EQ296" s="3">
        <f t="shared" si="166"/>
        <v>0</v>
      </c>
      <c r="ER296" s="3">
        <f t="shared" si="166"/>
        <v>0</v>
      </c>
      <c r="ES296" s="3">
        <f t="shared" si="166"/>
        <v>0</v>
      </c>
      <c r="ET296" s="3">
        <f t="shared" si="166"/>
        <v>0</v>
      </c>
      <c r="EU296" s="3">
        <f t="shared" si="166"/>
        <v>0</v>
      </c>
      <c r="EV296" s="3">
        <f t="shared" si="166"/>
        <v>0</v>
      </c>
      <c r="EW296" s="3">
        <f t="shared" si="166"/>
        <v>0</v>
      </c>
      <c r="EX296" s="3">
        <f t="shared" si="166"/>
        <v>0</v>
      </c>
      <c r="EY296" s="3">
        <f t="shared" si="166"/>
        <v>0</v>
      </c>
      <c r="EZ296" s="3">
        <f t="shared" si="166"/>
        <v>0</v>
      </c>
      <c r="FA296" s="3">
        <f t="shared" si="166"/>
        <v>0</v>
      </c>
      <c r="FB296" s="3">
        <f t="shared" si="166"/>
        <v>0</v>
      </c>
      <c r="FC296" s="3">
        <f t="shared" si="166"/>
        <v>0</v>
      </c>
      <c r="FD296" s="3">
        <f t="shared" si="166"/>
        <v>0</v>
      </c>
      <c r="FE296" s="3">
        <f t="shared" si="166"/>
        <v>0</v>
      </c>
      <c r="FF296" s="3">
        <f t="shared" si="166"/>
        <v>0</v>
      </c>
      <c r="FG296" s="3">
        <f t="shared" si="166"/>
        <v>0</v>
      </c>
      <c r="FH296" s="3">
        <f t="shared" si="166"/>
        <v>0</v>
      </c>
      <c r="FI296" s="3">
        <f t="shared" si="166"/>
        <v>0</v>
      </c>
      <c r="FJ296" s="3">
        <f t="shared" si="166"/>
        <v>0</v>
      </c>
      <c r="FK296" s="3">
        <f t="shared" si="166"/>
        <v>0</v>
      </c>
      <c r="FL296" s="3">
        <f t="shared" si="166"/>
        <v>0</v>
      </c>
      <c r="FM296" s="3">
        <f t="shared" si="166"/>
        <v>0</v>
      </c>
      <c r="FN296" s="3">
        <f t="shared" si="166"/>
        <v>0</v>
      </c>
      <c r="FO296" s="3">
        <f t="shared" si="166"/>
        <v>0</v>
      </c>
      <c r="FP296" s="3">
        <f t="shared" si="166"/>
        <v>0</v>
      </c>
      <c r="FQ296" s="3">
        <f t="shared" si="166"/>
        <v>0</v>
      </c>
      <c r="FR296" s="3">
        <f t="shared" si="166"/>
        <v>0</v>
      </c>
      <c r="FS296" s="3">
        <f t="shared" ref="FS296:GX296" si="167">FS303</f>
        <v>0</v>
      </c>
      <c r="FT296" s="3">
        <f t="shared" si="167"/>
        <v>0</v>
      </c>
      <c r="FU296" s="3">
        <f t="shared" si="167"/>
        <v>0</v>
      </c>
      <c r="FV296" s="3">
        <f t="shared" si="167"/>
        <v>0</v>
      </c>
      <c r="FW296" s="3">
        <f t="shared" si="167"/>
        <v>0</v>
      </c>
      <c r="FX296" s="3">
        <f t="shared" si="167"/>
        <v>0</v>
      </c>
      <c r="FY296" s="3">
        <f t="shared" si="167"/>
        <v>0</v>
      </c>
      <c r="FZ296" s="3">
        <f t="shared" si="167"/>
        <v>0</v>
      </c>
      <c r="GA296" s="3">
        <f t="shared" si="167"/>
        <v>0</v>
      </c>
      <c r="GB296" s="3">
        <f t="shared" si="167"/>
        <v>0</v>
      </c>
      <c r="GC296" s="3">
        <f t="shared" si="167"/>
        <v>0</v>
      </c>
      <c r="GD296" s="3">
        <f t="shared" si="167"/>
        <v>0</v>
      </c>
      <c r="GE296" s="3">
        <f t="shared" si="167"/>
        <v>0</v>
      </c>
      <c r="GF296" s="3">
        <f t="shared" si="167"/>
        <v>0</v>
      </c>
      <c r="GG296" s="3">
        <f t="shared" si="167"/>
        <v>0</v>
      </c>
      <c r="GH296" s="3">
        <f t="shared" si="167"/>
        <v>0</v>
      </c>
      <c r="GI296" s="3">
        <f t="shared" si="167"/>
        <v>0</v>
      </c>
      <c r="GJ296" s="3">
        <f t="shared" si="167"/>
        <v>0</v>
      </c>
      <c r="GK296" s="3">
        <f t="shared" si="167"/>
        <v>0</v>
      </c>
      <c r="GL296" s="3">
        <f t="shared" si="167"/>
        <v>0</v>
      </c>
      <c r="GM296" s="3">
        <f t="shared" si="167"/>
        <v>0</v>
      </c>
      <c r="GN296" s="3">
        <f t="shared" si="167"/>
        <v>0</v>
      </c>
      <c r="GO296" s="3">
        <f t="shared" si="167"/>
        <v>0</v>
      </c>
      <c r="GP296" s="3">
        <f t="shared" si="167"/>
        <v>0</v>
      </c>
      <c r="GQ296" s="3">
        <f t="shared" si="167"/>
        <v>0</v>
      </c>
      <c r="GR296" s="3">
        <f t="shared" si="167"/>
        <v>0</v>
      </c>
      <c r="GS296" s="3">
        <f t="shared" si="167"/>
        <v>0</v>
      </c>
      <c r="GT296" s="3">
        <f t="shared" si="167"/>
        <v>0</v>
      </c>
      <c r="GU296" s="3">
        <f t="shared" si="167"/>
        <v>0</v>
      </c>
      <c r="GV296" s="3">
        <f t="shared" si="167"/>
        <v>0</v>
      </c>
      <c r="GW296" s="3">
        <f t="shared" si="167"/>
        <v>0</v>
      </c>
      <c r="GX296" s="3">
        <f t="shared" si="167"/>
        <v>0</v>
      </c>
    </row>
    <row r="298" spans="1:245" x14ac:dyDescent="0.2">
      <c r="A298">
        <v>17</v>
      </c>
      <c r="B298">
        <v>1</v>
      </c>
      <c r="C298">
        <f>ROW(SmtRes!A188)</f>
        <v>188</v>
      </c>
      <c r="D298">
        <f>ROW(EtalonRes!A164)</f>
        <v>164</v>
      </c>
      <c r="E298" t="s">
        <v>255</v>
      </c>
      <c r="F298" t="s">
        <v>17</v>
      </c>
      <c r="G298" t="s">
        <v>18</v>
      </c>
      <c r="H298" t="s">
        <v>19</v>
      </c>
      <c r="I298">
        <f>ROUND(7.5/100,9)</f>
        <v>7.4999999999999997E-2</v>
      </c>
      <c r="J298">
        <v>0</v>
      </c>
      <c r="O298">
        <f>ROUND(CP298,2)</f>
        <v>141.21</v>
      </c>
      <c r="P298">
        <f>ROUND(CQ298*I298,2)</f>
        <v>0</v>
      </c>
      <c r="Q298">
        <f>ROUND(CR298*I298,2)</f>
        <v>0.48</v>
      </c>
      <c r="R298">
        <f>ROUND(CS298*I298,2)</f>
        <v>0.05</v>
      </c>
      <c r="S298">
        <f>ROUND(CT298*I298,2)</f>
        <v>140.72999999999999</v>
      </c>
      <c r="T298">
        <f>ROUND(CU298*I298,2)</f>
        <v>0</v>
      </c>
      <c r="U298">
        <f>CV298*I298</f>
        <v>0.54690000000000005</v>
      </c>
      <c r="V298">
        <f>CW298*I298</f>
        <v>0</v>
      </c>
      <c r="W298">
        <f>ROUND(CX298*I298,2)</f>
        <v>0</v>
      </c>
      <c r="X298">
        <f t="shared" ref="X298:Y301" si="168">ROUND(CY298,2)</f>
        <v>98.51</v>
      </c>
      <c r="Y298">
        <f t="shared" si="168"/>
        <v>14.07</v>
      </c>
      <c r="AA298">
        <v>38799519</v>
      </c>
      <c r="AB298">
        <f>ROUND((AC298+AD298+AF298),6)</f>
        <v>1882.816</v>
      </c>
      <c r="AC298">
        <f>ROUND(((ES298*0)),6)</f>
        <v>0</v>
      </c>
      <c r="AD298">
        <f>ROUND(((((ET298*0.2))-((EU298*0.2)))+AE298),6)</f>
        <v>6.3659999999999997</v>
      </c>
      <c r="AE298">
        <f>ROUND(((EU298*0.2)),6)</f>
        <v>0.68400000000000005</v>
      </c>
      <c r="AF298">
        <f>ROUND(((EV298*0.2)),6)</f>
        <v>1876.45</v>
      </c>
      <c r="AG298">
        <f>ROUND((AP298),6)</f>
        <v>0</v>
      </c>
      <c r="AH298">
        <f>((EW298*0.2))</f>
        <v>7.2920000000000007</v>
      </c>
      <c r="AI298">
        <f>((EX298*0.2))</f>
        <v>0</v>
      </c>
      <c r="AJ298">
        <f>(AS298)</f>
        <v>0</v>
      </c>
      <c r="AK298">
        <v>50337.93</v>
      </c>
      <c r="AL298">
        <v>40923.85</v>
      </c>
      <c r="AM298">
        <v>31.83</v>
      </c>
      <c r="AN298">
        <v>3.42</v>
      </c>
      <c r="AO298">
        <v>9382.25</v>
      </c>
      <c r="AP298">
        <v>0</v>
      </c>
      <c r="AQ298">
        <v>36.46</v>
      </c>
      <c r="AR298">
        <v>0</v>
      </c>
      <c r="AS298">
        <v>0</v>
      </c>
      <c r="AT298">
        <v>70</v>
      </c>
      <c r="AU298">
        <v>10</v>
      </c>
      <c r="AV298">
        <v>1</v>
      </c>
      <c r="AW298">
        <v>1</v>
      </c>
      <c r="AZ298">
        <v>1</v>
      </c>
      <c r="BA298">
        <v>1</v>
      </c>
      <c r="BB298">
        <v>1</v>
      </c>
      <c r="BC298">
        <v>1</v>
      </c>
      <c r="BD298" t="s">
        <v>3</v>
      </c>
      <c r="BE298" t="s">
        <v>3</v>
      </c>
      <c r="BF298" t="s">
        <v>3</v>
      </c>
      <c r="BG298" t="s">
        <v>3</v>
      </c>
      <c r="BH298">
        <v>0</v>
      </c>
      <c r="BI298">
        <v>4</v>
      </c>
      <c r="BJ298" t="s">
        <v>20</v>
      </c>
      <c r="BM298">
        <v>0</v>
      </c>
      <c r="BN298">
        <v>0</v>
      </c>
      <c r="BO298" t="s">
        <v>3</v>
      </c>
      <c r="BP298">
        <v>0</v>
      </c>
      <c r="BQ298">
        <v>1</v>
      </c>
      <c r="BR298">
        <v>0</v>
      </c>
      <c r="BS298">
        <v>1</v>
      </c>
      <c r="BT298">
        <v>1</v>
      </c>
      <c r="BU298">
        <v>1</v>
      </c>
      <c r="BV298">
        <v>1</v>
      </c>
      <c r="BW298">
        <v>1</v>
      </c>
      <c r="BX298">
        <v>1</v>
      </c>
      <c r="BY298" t="s">
        <v>3</v>
      </c>
      <c r="BZ298">
        <v>70</v>
      </c>
      <c r="CA298">
        <v>10</v>
      </c>
      <c r="CE298">
        <v>0</v>
      </c>
      <c r="CF298">
        <v>0</v>
      </c>
      <c r="CG298">
        <v>0</v>
      </c>
      <c r="CM298">
        <v>0</v>
      </c>
      <c r="CN298" t="s">
        <v>657</v>
      </c>
      <c r="CO298">
        <v>0</v>
      </c>
      <c r="CP298">
        <f>(P298+Q298+S298)</f>
        <v>141.20999999999998</v>
      </c>
      <c r="CQ298">
        <f>(AC298*BC298*AW298)</f>
        <v>0</v>
      </c>
      <c r="CR298">
        <f>(((((ET298*0.2))*BB298-((EU298*0.2))*BS298)+AE298*BS298)*AV298)</f>
        <v>6.3659999999999997</v>
      </c>
      <c r="CS298">
        <f>(AE298*BS298*AV298)</f>
        <v>0.68400000000000005</v>
      </c>
      <c r="CT298">
        <f>(AF298*BA298*AV298)</f>
        <v>1876.45</v>
      </c>
      <c r="CU298">
        <f>AG298</f>
        <v>0</v>
      </c>
      <c r="CV298">
        <f>(AH298*AV298)</f>
        <v>7.2920000000000007</v>
      </c>
      <c r="CW298">
        <f t="shared" ref="CW298:CX301" si="169">AI298</f>
        <v>0</v>
      </c>
      <c r="CX298">
        <f t="shared" si="169"/>
        <v>0</v>
      </c>
      <c r="CY298">
        <f>((S298*BZ298)/100)</f>
        <v>98.510999999999981</v>
      </c>
      <c r="CZ298">
        <f>((S298*CA298)/100)</f>
        <v>14.073</v>
      </c>
      <c r="DC298" t="s">
        <v>3</v>
      </c>
      <c r="DD298" t="s">
        <v>21</v>
      </c>
      <c r="DE298" t="s">
        <v>22</v>
      </c>
      <c r="DF298" t="s">
        <v>22</v>
      </c>
      <c r="DG298" t="s">
        <v>22</v>
      </c>
      <c r="DH298" t="s">
        <v>3</v>
      </c>
      <c r="DI298" t="s">
        <v>22</v>
      </c>
      <c r="DJ298" t="s">
        <v>22</v>
      </c>
      <c r="DK298" t="s">
        <v>3</v>
      </c>
      <c r="DL298" t="s">
        <v>3</v>
      </c>
      <c r="DM298" t="s">
        <v>3</v>
      </c>
      <c r="DN298">
        <v>0</v>
      </c>
      <c r="DO298">
        <v>0</v>
      </c>
      <c r="DP298">
        <v>1</v>
      </c>
      <c r="DQ298">
        <v>1</v>
      </c>
      <c r="DU298">
        <v>1005</v>
      </c>
      <c r="DV298" t="s">
        <v>19</v>
      </c>
      <c r="DW298" t="s">
        <v>19</v>
      </c>
      <c r="DX298">
        <v>100</v>
      </c>
      <c r="EE298">
        <v>38447819</v>
      </c>
      <c r="EF298">
        <v>1</v>
      </c>
      <c r="EG298" t="s">
        <v>23</v>
      </c>
      <c r="EH298">
        <v>0</v>
      </c>
      <c r="EI298" t="s">
        <v>3</v>
      </c>
      <c r="EJ298">
        <v>4</v>
      </c>
      <c r="EK298">
        <v>0</v>
      </c>
      <c r="EL298" t="s">
        <v>24</v>
      </c>
      <c r="EM298" t="s">
        <v>25</v>
      </c>
      <c r="EO298" t="s">
        <v>26</v>
      </c>
      <c r="EQ298">
        <v>0</v>
      </c>
      <c r="ER298">
        <v>50337.93</v>
      </c>
      <c r="ES298">
        <v>40923.85</v>
      </c>
      <c r="ET298">
        <v>31.83</v>
      </c>
      <c r="EU298">
        <v>3.42</v>
      </c>
      <c r="EV298">
        <v>9382.25</v>
      </c>
      <c r="EW298">
        <v>36.46</v>
      </c>
      <c r="EX298">
        <v>0</v>
      </c>
      <c r="EY298">
        <v>0</v>
      </c>
      <c r="FQ298">
        <v>0</v>
      </c>
      <c r="FR298">
        <f>ROUND(IF(AND(BH298=3,BI298=3),P298,0),2)</f>
        <v>0</v>
      </c>
      <c r="FS298">
        <v>0</v>
      </c>
      <c r="FX298">
        <v>70</v>
      </c>
      <c r="FY298">
        <v>10</v>
      </c>
      <c r="GA298" t="s">
        <v>3</v>
      </c>
      <c r="GD298">
        <v>0</v>
      </c>
      <c r="GF298">
        <v>-1650701133</v>
      </c>
      <c r="GG298">
        <v>2</v>
      </c>
      <c r="GH298">
        <v>1</v>
      </c>
      <c r="GI298">
        <v>-2</v>
      </c>
      <c r="GJ298">
        <v>0</v>
      </c>
      <c r="GK298">
        <f>ROUND(R298*(R12)/100,2)</f>
        <v>0.05</v>
      </c>
      <c r="GL298">
        <f>ROUND(IF(AND(BH298=3,BI298=3,FS298&lt;&gt;0),P298,0),2)</f>
        <v>0</v>
      </c>
      <c r="GM298">
        <f>ROUND(O298+X298+Y298+GK298,2)+GX298</f>
        <v>253.84</v>
      </c>
      <c r="GN298">
        <f>IF(OR(BI298=0,BI298=1),ROUND(O298+X298+Y298+GK298,2),0)</f>
        <v>0</v>
      </c>
      <c r="GO298">
        <f>IF(BI298=2,ROUND(O298+X298+Y298+GK298,2),0)</f>
        <v>0</v>
      </c>
      <c r="GP298">
        <f>IF(BI298=4,ROUND(O298+X298+Y298+GK298,2)+GX298,0)</f>
        <v>253.84</v>
      </c>
      <c r="GR298">
        <v>0</v>
      </c>
      <c r="GS298">
        <v>3</v>
      </c>
      <c r="GT298">
        <v>0</v>
      </c>
      <c r="GU298" t="s">
        <v>3</v>
      </c>
      <c r="GV298">
        <f>ROUND((GT298),6)</f>
        <v>0</v>
      </c>
      <c r="GW298">
        <v>1</v>
      </c>
      <c r="GX298">
        <f>ROUND(HC298*I298,2)</f>
        <v>0</v>
      </c>
      <c r="HA298">
        <v>0</v>
      </c>
      <c r="HB298">
        <v>0</v>
      </c>
      <c r="HC298">
        <f>GV298*GW298</f>
        <v>0</v>
      </c>
      <c r="HE298" t="s">
        <v>3</v>
      </c>
      <c r="HF298" t="s">
        <v>3</v>
      </c>
      <c r="IK298">
        <v>0</v>
      </c>
    </row>
    <row r="299" spans="1:245" x14ac:dyDescent="0.2">
      <c r="A299">
        <v>17</v>
      </c>
      <c r="B299">
        <v>1</v>
      </c>
      <c r="C299">
        <f>ROW(SmtRes!A193)</f>
        <v>193</v>
      </c>
      <c r="D299">
        <f>ROW(EtalonRes!A169)</f>
        <v>169</v>
      </c>
      <c r="E299" t="s">
        <v>256</v>
      </c>
      <c r="F299" t="s">
        <v>257</v>
      </c>
      <c r="G299" t="s">
        <v>258</v>
      </c>
      <c r="H299" t="s">
        <v>155</v>
      </c>
      <c r="I299">
        <v>0.05</v>
      </c>
      <c r="J299">
        <v>0</v>
      </c>
      <c r="O299">
        <f>ROUND(CP299,2)</f>
        <v>291.52999999999997</v>
      </c>
      <c r="P299">
        <f>ROUND(CQ299*I299,2)</f>
        <v>0</v>
      </c>
      <c r="Q299">
        <f>ROUND(CR299*I299,2)</f>
        <v>7.44</v>
      </c>
      <c r="R299">
        <f>ROUND(CS299*I299,2)</f>
        <v>0.32</v>
      </c>
      <c r="S299">
        <f>ROUND(CT299*I299,2)</f>
        <v>284.08999999999997</v>
      </c>
      <c r="T299">
        <f>ROUND(CU299*I299,2)</f>
        <v>0</v>
      </c>
      <c r="U299">
        <f>CV299*I299</f>
        <v>1.1040000000000001</v>
      </c>
      <c r="V299">
        <f>CW299*I299</f>
        <v>0</v>
      </c>
      <c r="W299">
        <f>ROUND(CX299*I299,2)</f>
        <v>0</v>
      </c>
      <c r="X299">
        <f t="shared" si="168"/>
        <v>198.86</v>
      </c>
      <c r="Y299">
        <f t="shared" si="168"/>
        <v>28.41</v>
      </c>
      <c r="AA299">
        <v>38799519</v>
      </c>
      <c r="AB299">
        <f>ROUND((AC299+AD299+AF299),6)</f>
        <v>5830.6459999999997</v>
      </c>
      <c r="AC299">
        <f>ROUND(((ES299*0)),6)</f>
        <v>0</v>
      </c>
      <c r="AD299">
        <f>ROUND(((((ET299*0.2))-((EU299*0.2)))+AE299),6)</f>
        <v>148.80000000000001</v>
      </c>
      <c r="AE299">
        <f>ROUND(((EU299*0.2)),6)</f>
        <v>6.48</v>
      </c>
      <c r="AF299">
        <f>ROUND(((EV299*0.2)),6)</f>
        <v>5681.8459999999995</v>
      </c>
      <c r="AG299">
        <f>ROUND((AP299),6)</f>
        <v>0</v>
      </c>
      <c r="AH299">
        <f>((EW299*0.2))</f>
        <v>22.080000000000002</v>
      </c>
      <c r="AI299">
        <f>((EX299*0.2))</f>
        <v>0</v>
      </c>
      <c r="AJ299">
        <f>(AS299)</f>
        <v>0</v>
      </c>
      <c r="AK299">
        <v>109622.76</v>
      </c>
      <c r="AL299">
        <v>80469.53</v>
      </c>
      <c r="AM299">
        <v>744</v>
      </c>
      <c r="AN299">
        <v>32.4</v>
      </c>
      <c r="AO299">
        <v>28409.23</v>
      </c>
      <c r="AP299">
        <v>0</v>
      </c>
      <c r="AQ299">
        <v>110.4</v>
      </c>
      <c r="AR299">
        <v>0</v>
      </c>
      <c r="AS299">
        <v>0</v>
      </c>
      <c r="AT299">
        <v>70</v>
      </c>
      <c r="AU299">
        <v>10</v>
      </c>
      <c r="AV299">
        <v>1</v>
      </c>
      <c r="AW299">
        <v>1</v>
      </c>
      <c r="AZ299">
        <v>1</v>
      </c>
      <c r="BA299">
        <v>1</v>
      </c>
      <c r="BB299">
        <v>1</v>
      </c>
      <c r="BC299">
        <v>1</v>
      </c>
      <c r="BD299" t="s">
        <v>3</v>
      </c>
      <c r="BE299" t="s">
        <v>3</v>
      </c>
      <c r="BF299" t="s">
        <v>3</v>
      </c>
      <c r="BG299" t="s">
        <v>3</v>
      </c>
      <c r="BH299">
        <v>0</v>
      </c>
      <c r="BI299">
        <v>4</v>
      </c>
      <c r="BJ299" t="s">
        <v>259</v>
      </c>
      <c r="BM299">
        <v>0</v>
      </c>
      <c r="BN299">
        <v>0</v>
      </c>
      <c r="BO299" t="s">
        <v>3</v>
      </c>
      <c r="BP299">
        <v>0</v>
      </c>
      <c r="BQ299">
        <v>1</v>
      </c>
      <c r="BR299">
        <v>0</v>
      </c>
      <c r="BS299">
        <v>1</v>
      </c>
      <c r="BT299">
        <v>1</v>
      </c>
      <c r="BU299">
        <v>1</v>
      </c>
      <c r="BV299">
        <v>1</v>
      </c>
      <c r="BW299">
        <v>1</v>
      </c>
      <c r="BX299">
        <v>1</v>
      </c>
      <c r="BY299" t="s">
        <v>3</v>
      </c>
      <c r="BZ299">
        <v>70</v>
      </c>
      <c r="CA299">
        <v>10</v>
      </c>
      <c r="CE299">
        <v>0</v>
      </c>
      <c r="CF299">
        <v>0</v>
      </c>
      <c r="CG299">
        <v>0</v>
      </c>
      <c r="CM299">
        <v>0</v>
      </c>
      <c r="CN299" t="s">
        <v>657</v>
      </c>
      <c r="CO299">
        <v>0</v>
      </c>
      <c r="CP299">
        <f>(P299+Q299+S299)</f>
        <v>291.52999999999997</v>
      </c>
      <c r="CQ299">
        <f>(AC299*BC299*AW299)</f>
        <v>0</v>
      </c>
      <c r="CR299">
        <f>(((((ET299*0.2))*BB299-((EU299*0.2))*BS299)+AE299*BS299)*AV299)</f>
        <v>148.80000000000001</v>
      </c>
      <c r="CS299">
        <f>(AE299*BS299*AV299)</f>
        <v>6.48</v>
      </c>
      <c r="CT299">
        <f>(AF299*BA299*AV299)</f>
        <v>5681.8459999999995</v>
      </c>
      <c r="CU299">
        <f>AG299</f>
        <v>0</v>
      </c>
      <c r="CV299">
        <f>(AH299*AV299)</f>
        <v>22.080000000000002</v>
      </c>
      <c r="CW299">
        <f t="shared" si="169"/>
        <v>0</v>
      </c>
      <c r="CX299">
        <f t="shared" si="169"/>
        <v>0</v>
      </c>
      <c r="CY299">
        <f>((S299*BZ299)/100)</f>
        <v>198.863</v>
      </c>
      <c r="CZ299">
        <f>((S299*CA299)/100)</f>
        <v>28.408999999999995</v>
      </c>
      <c r="DC299" t="s">
        <v>3</v>
      </c>
      <c r="DD299" t="s">
        <v>21</v>
      </c>
      <c r="DE299" t="s">
        <v>22</v>
      </c>
      <c r="DF299" t="s">
        <v>22</v>
      </c>
      <c r="DG299" t="s">
        <v>22</v>
      </c>
      <c r="DH299" t="s">
        <v>3</v>
      </c>
      <c r="DI299" t="s">
        <v>22</v>
      </c>
      <c r="DJ299" t="s">
        <v>22</v>
      </c>
      <c r="DK299" t="s">
        <v>3</v>
      </c>
      <c r="DL299" t="s">
        <v>3</v>
      </c>
      <c r="DM299" t="s">
        <v>3</v>
      </c>
      <c r="DN299">
        <v>0</v>
      </c>
      <c r="DO299">
        <v>0</v>
      </c>
      <c r="DP299">
        <v>1</v>
      </c>
      <c r="DQ299">
        <v>1</v>
      </c>
      <c r="DU299">
        <v>1009</v>
      </c>
      <c r="DV299" t="s">
        <v>155</v>
      </c>
      <c r="DW299" t="s">
        <v>155</v>
      </c>
      <c r="DX299">
        <v>1000</v>
      </c>
      <c r="EE299">
        <v>38447819</v>
      </c>
      <c r="EF299">
        <v>1</v>
      </c>
      <c r="EG299" t="s">
        <v>23</v>
      </c>
      <c r="EH299">
        <v>0</v>
      </c>
      <c r="EI299" t="s">
        <v>3</v>
      </c>
      <c r="EJ299">
        <v>4</v>
      </c>
      <c r="EK299">
        <v>0</v>
      </c>
      <c r="EL299" t="s">
        <v>24</v>
      </c>
      <c r="EM299" t="s">
        <v>25</v>
      </c>
      <c r="EO299" t="s">
        <v>26</v>
      </c>
      <c r="EQ299">
        <v>0</v>
      </c>
      <c r="ER299">
        <v>109622.76</v>
      </c>
      <c r="ES299">
        <v>80469.53</v>
      </c>
      <c r="ET299">
        <v>744</v>
      </c>
      <c r="EU299">
        <v>32.4</v>
      </c>
      <c r="EV299">
        <v>28409.23</v>
      </c>
      <c r="EW299">
        <v>110.4</v>
      </c>
      <c r="EX299">
        <v>0</v>
      </c>
      <c r="EY299">
        <v>0</v>
      </c>
      <c r="FQ299">
        <v>0</v>
      </c>
      <c r="FR299">
        <f>ROUND(IF(AND(BH299=3,BI299=3),P299,0),2)</f>
        <v>0</v>
      </c>
      <c r="FS299">
        <v>0</v>
      </c>
      <c r="FX299">
        <v>70</v>
      </c>
      <c r="FY299">
        <v>10</v>
      </c>
      <c r="GA299" t="s">
        <v>3</v>
      </c>
      <c r="GD299">
        <v>0</v>
      </c>
      <c r="GF299">
        <v>-1198396677</v>
      </c>
      <c r="GG299">
        <v>2</v>
      </c>
      <c r="GH299">
        <v>1</v>
      </c>
      <c r="GI299">
        <v>-2</v>
      </c>
      <c r="GJ299">
        <v>0</v>
      </c>
      <c r="GK299">
        <f>ROUND(R299*(R12)/100,2)</f>
        <v>0.35</v>
      </c>
      <c r="GL299">
        <f>ROUND(IF(AND(BH299=3,BI299=3,FS299&lt;&gt;0),P299,0),2)</f>
        <v>0</v>
      </c>
      <c r="GM299">
        <f>ROUND(O299+X299+Y299+GK299,2)+GX299</f>
        <v>519.15</v>
      </c>
      <c r="GN299">
        <f>IF(OR(BI299=0,BI299=1),ROUND(O299+X299+Y299+GK299,2),0)</f>
        <v>0</v>
      </c>
      <c r="GO299">
        <f>IF(BI299=2,ROUND(O299+X299+Y299+GK299,2),0)</f>
        <v>0</v>
      </c>
      <c r="GP299">
        <f>IF(BI299=4,ROUND(O299+X299+Y299+GK299,2)+GX299,0)</f>
        <v>519.15</v>
      </c>
      <c r="GR299">
        <v>0</v>
      </c>
      <c r="GS299">
        <v>3</v>
      </c>
      <c r="GT299">
        <v>0</v>
      </c>
      <c r="GU299" t="s">
        <v>3</v>
      </c>
      <c r="GV299">
        <f>ROUND((GT299),6)</f>
        <v>0</v>
      </c>
      <c r="GW299">
        <v>1</v>
      </c>
      <c r="GX299">
        <f>ROUND(HC299*I299,2)</f>
        <v>0</v>
      </c>
      <c r="HA299">
        <v>0</v>
      </c>
      <c r="HB299">
        <v>0</v>
      </c>
      <c r="HC299">
        <f>GV299*GW299</f>
        <v>0</v>
      </c>
      <c r="HE299" t="s">
        <v>3</v>
      </c>
      <c r="HF299" t="s">
        <v>3</v>
      </c>
      <c r="IK299">
        <v>0</v>
      </c>
    </row>
    <row r="300" spans="1:245" x14ac:dyDescent="0.2">
      <c r="A300">
        <v>17</v>
      </c>
      <c r="B300">
        <v>1</v>
      </c>
      <c r="C300">
        <f>ROW(SmtRes!A197)</f>
        <v>197</v>
      </c>
      <c r="D300">
        <f>ROW(EtalonRes!A173)</f>
        <v>173</v>
      </c>
      <c r="E300" t="s">
        <v>260</v>
      </c>
      <c r="F300" t="s">
        <v>261</v>
      </c>
      <c r="G300" t="s">
        <v>262</v>
      </c>
      <c r="H300" t="s">
        <v>155</v>
      </c>
      <c r="I300">
        <v>0.05</v>
      </c>
      <c r="J300">
        <v>0</v>
      </c>
      <c r="O300">
        <f>ROUND(CP300,2)</f>
        <v>407.29</v>
      </c>
      <c r="P300">
        <f>ROUND(CQ300*I300,2)</f>
        <v>0</v>
      </c>
      <c r="Q300">
        <f>ROUND(CR300*I300,2)</f>
        <v>4.7300000000000004</v>
      </c>
      <c r="R300">
        <f>ROUND(CS300*I300,2)</f>
        <v>0.08</v>
      </c>
      <c r="S300">
        <f>ROUND(CT300*I300,2)</f>
        <v>402.56</v>
      </c>
      <c r="T300">
        <f>ROUND(CU300*I300,2)</f>
        <v>0</v>
      </c>
      <c r="U300">
        <f>CV300*I300</f>
        <v>1.9489999999999998</v>
      </c>
      <c r="V300">
        <f>CW300*I300</f>
        <v>0</v>
      </c>
      <c r="W300">
        <f>ROUND(CX300*I300,2)</f>
        <v>0</v>
      </c>
      <c r="X300">
        <f t="shared" si="168"/>
        <v>281.79000000000002</v>
      </c>
      <c r="Y300">
        <f t="shared" si="168"/>
        <v>40.26</v>
      </c>
      <c r="AA300">
        <v>38799519</v>
      </c>
      <c r="AB300">
        <f>ROUND((AC300+AD300+AF300),6)</f>
        <v>8145.86</v>
      </c>
      <c r="AC300">
        <f>ROUND((ES300),6)</f>
        <v>0</v>
      </c>
      <c r="AD300">
        <f>ROUND((((ET300)-(EU300))+AE300),6)</f>
        <v>94.69</v>
      </c>
      <c r="AE300">
        <f>ROUND((EU300),6)</f>
        <v>1.69</v>
      </c>
      <c r="AF300">
        <f>ROUND((EV300),6)</f>
        <v>8051.17</v>
      </c>
      <c r="AG300">
        <f>ROUND((AP300),6)</f>
        <v>0</v>
      </c>
      <c r="AH300">
        <f>(EW300)</f>
        <v>38.979999999999997</v>
      </c>
      <c r="AI300">
        <f>(EX300)</f>
        <v>0</v>
      </c>
      <c r="AJ300">
        <f>(AS300)</f>
        <v>0</v>
      </c>
      <c r="AK300">
        <v>8145.86</v>
      </c>
      <c r="AL300">
        <v>0</v>
      </c>
      <c r="AM300">
        <v>94.69</v>
      </c>
      <c r="AN300">
        <v>1.69</v>
      </c>
      <c r="AO300">
        <v>8051.17</v>
      </c>
      <c r="AP300">
        <v>0</v>
      </c>
      <c r="AQ300">
        <v>38.979999999999997</v>
      </c>
      <c r="AR300">
        <v>0</v>
      </c>
      <c r="AS300">
        <v>0</v>
      </c>
      <c r="AT300">
        <v>70</v>
      </c>
      <c r="AU300">
        <v>10</v>
      </c>
      <c r="AV300">
        <v>1</v>
      </c>
      <c r="AW300">
        <v>1</v>
      </c>
      <c r="AZ300">
        <v>1</v>
      </c>
      <c r="BA300">
        <v>1</v>
      </c>
      <c r="BB300">
        <v>1</v>
      </c>
      <c r="BC300">
        <v>1</v>
      </c>
      <c r="BD300" t="s">
        <v>3</v>
      </c>
      <c r="BE300" t="s">
        <v>3</v>
      </c>
      <c r="BF300" t="s">
        <v>3</v>
      </c>
      <c r="BG300" t="s">
        <v>3</v>
      </c>
      <c r="BH300">
        <v>0</v>
      </c>
      <c r="BI300">
        <v>4</v>
      </c>
      <c r="BJ300" t="s">
        <v>263</v>
      </c>
      <c r="BM300">
        <v>0</v>
      </c>
      <c r="BN300">
        <v>0</v>
      </c>
      <c r="BO300" t="s">
        <v>3</v>
      </c>
      <c r="BP300">
        <v>0</v>
      </c>
      <c r="BQ300">
        <v>1</v>
      </c>
      <c r="BR300">
        <v>0</v>
      </c>
      <c r="BS300">
        <v>1</v>
      </c>
      <c r="BT300">
        <v>1</v>
      </c>
      <c r="BU300">
        <v>1</v>
      </c>
      <c r="BV300">
        <v>1</v>
      </c>
      <c r="BW300">
        <v>1</v>
      </c>
      <c r="BX300">
        <v>1</v>
      </c>
      <c r="BY300" t="s">
        <v>3</v>
      </c>
      <c r="BZ300">
        <v>70</v>
      </c>
      <c r="CA300">
        <v>10</v>
      </c>
      <c r="CE300">
        <v>0</v>
      </c>
      <c r="CF300">
        <v>0</v>
      </c>
      <c r="CG300">
        <v>0</v>
      </c>
      <c r="CM300">
        <v>0</v>
      </c>
      <c r="CN300" t="s">
        <v>3</v>
      </c>
      <c r="CO300">
        <v>0</v>
      </c>
      <c r="CP300">
        <f>(P300+Q300+S300)</f>
        <v>407.29</v>
      </c>
      <c r="CQ300">
        <f>(AC300*BC300*AW300)</f>
        <v>0</v>
      </c>
      <c r="CR300">
        <f>((((ET300)*BB300-(EU300)*BS300)+AE300*BS300)*AV300)</f>
        <v>94.69</v>
      </c>
      <c r="CS300">
        <f>(AE300*BS300*AV300)</f>
        <v>1.69</v>
      </c>
      <c r="CT300">
        <f>(AF300*BA300*AV300)</f>
        <v>8051.17</v>
      </c>
      <c r="CU300">
        <f>AG300</f>
        <v>0</v>
      </c>
      <c r="CV300">
        <f>(AH300*AV300)</f>
        <v>38.979999999999997</v>
      </c>
      <c r="CW300">
        <f t="shared" si="169"/>
        <v>0</v>
      </c>
      <c r="CX300">
        <f t="shared" si="169"/>
        <v>0</v>
      </c>
      <c r="CY300">
        <f>((S300*BZ300)/100)</f>
        <v>281.79200000000003</v>
      </c>
      <c r="CZ300">
        <f>((S300*CA300)/100)</f>
        <v>40.256</v>
      </c>
      <c r="DC300" t="s">
        <v>3</v>
      </c>
      <c r="DD300" t="s">
        <v>3</v>
      </c>
      <c r="DE300" t="s">
        <v>3</v>
      </c>
      <c r="DF300" t="s">
        <v>3</v>
      </c>
      <c r="DG300" t="s">
        <v>3</v>
      </c>
      <c r="DH300" t="s">
        <v>3</v>
      </c>
      <c r="DI300" t="s">
        <v>3</v>
      </c>
      <c r="DJ300" t="s">
        <v>3</v>
      </c>
      <c r="DK300" t="s">
        <v>3</v>
      </c>
      <c r="DL300" t="s">
        <v>3</v>
      </c>
      <c r="DM300" t="s">
        <v>3</v>
      </c>
      <c r="DN300">
        <v>0</v>
      </c>
      <c r="DO300">
        <v>0</v>
      </c>
      <c r="DP300">
        <v>1</v>
      </c>
      <c r="DQ300">
        <v>1</v>
      </c>
      <c r="DU300">
        <v>1009</v>
      </c>
      <c r="DV300" t="s">
        <v>155</v>
      </c>
      <c r="DW300" t="s">
        <v>155</v>
      </c>
      <c r="DX300">
        <v>1000</v>
      </c>
      <c r="EE300">
        <v>38447819</v>
      </c>
      <c r="EF300">
        <v>1</v>
      </c>
      <c r="EG300" t="s">
        <v>23</v>
      </c>
      <c r="EH300">
        <v>0</v>
      </c>
      <c r="EI300" t="s">
        <v>3</v>
      </c>
      <c r="EJ300">
        <v>4</v>
      </c>
      <c r="EK300">
        <v>0</v>
      </c>
      <c r="EL300" t="s">
        <v>24</v>
      </c>
      <c r="EM300" t="s">
        <v>25</v>
      </c>
      <c r="EO300" t="s">
        <v>3</v>
      </c>
      <c r="EQ300">
        <v>0</v>
      </c>
      <c r="ER300">
        <v>8145.86</v>
      </c>
      <c r="ES300">
        <v>0</v>
      </c>
      <c r="ET300">
        <v>94.69</v>
      </c>
      <c r="EU300">
        <v>1.69</v>
      </c>
      <c r="EV300">
        <v>8051.17</v>
      </c>
      <c r="EW300">
        <v>38.979999999999997</v>
      </c>
      <c r="EX300">
        <v>0</v>
      </c>
      <c r="EY300">
        <v>0</v>
      </c>
      <c r="FQ300">
        <v>0</v>
      </c>
      <c r="FR300">
        <f>ROUND(IF(AND(BH300=3,BI300=3),P300,0),2)</f>
        <v>0</v>
      </c>
      <c r="FS300">
        <v>0</v>
      </c>
      <c r="FX300">
        <v>70</v>
      </c>
      <c r="FY300">
        <v>10</v>
      </c>
      <c r="GA300" t="s">
        <v>3</v>
      </c>
      <c r="GD300">
        <v>0</v>
      </c>
      <c r="GF300">
        <v>851002580</v>
      </c>
      <c r="GG300">
        <v>2</v>
      </c>
      <c r="GH300">
        <v>1</v>
      </c>
      <c r="GI300">
        <v>-2</v>
      </c>
      <c r="GJ300">
        <v>0</v>
      </c>
      <c r="GK300">
        <f>ROUND(R300*(R12)/100,2)</f>
        <v>0.09</v>
      </c>
      <c r="GL300">
        <f>ROUND(IF(AND(BH300=3,BI300=3,FS300&lt;&gt;0),P300,0),2)</f>
        <v>0</v>
      </c>
      <c r="GM300">
        <f>ROUND(O300+X300+Y300+GK300,2)+GX300</f>
        <v>729.43</v>
      </c>
      <c r="GN300">
        <f>IF(OR(BI300=0,BI300=1),ROUND(O300+X300+Y300+GK300,2),0)</f>
        <v>0</v>
      </c>
      <c r="GO300">
        <f>IF(BI300=2,ROUND(O300+X300+Y300+GK300,2),0)</f>
        <v>0</v>
      </c>
      <c r="GP300">
        <f>IF(BI300=4,ROUND(O300+X300+Y300+GK300,2)+GX300,0)</f>
        <v>729.43</v>
      </c>
      <c r="GR300">
        <v>0</v>
      </c>
      <c r="GS300">
        <v>3</v>
      </c>
      <c r="GT300">
        <v>0</v>
      </c>
      <c r="GU300" t="s">
        <v>3</v>
      </c>
      <c r="GV300">
        <f>ROUND((GT300),6)</f>
        <v>0</v>
      </c>
      <c r="GW300">
        <v>1</v>
      </c>
      <c r="GX300">
        <f>ROUND(HC300*I300,2)</f>
        <v>0</v>
      </c>
      <c r="HA300">
        <v>0</v>
      </c>
      <c r="HB300">
        <v>0</v>
      </c>
      <c r="HC300">
        <f>GV300*GW300</f>
        <v>0</v>
      </c>
      <c r="HE300" t="s">
        <v>3</v>
      </c>
      <c r="HF300" t="s">
        <v>3</v>
      </c>
      <c r="IK300">
        <v>0</v>
      </c>
    </row>
    <row r="301" spans="1:245" x14ac:dyDescent="0.2">
      <c r="A301">
        <v>17</v>
      </c>
      <c r="B301">
        <v>1</v>
      </c>
      <c r="C301">
        <f>ROW(SmtRes!A201)</f>
        <v>201</v>
      </c>
      <c r="D301">
        <f>ROW(EtalonRes!A177)</f>
        <v>177</v>
      </c>
      <c r="E301" t="s">
        <v>264</v>
      </c>
      <c r="F301" t="s">
        <v>265</v>
      </c>
      <c r="G301" t="s">
        <v>266</v>
      </c>
      <c r="H301" t="s">
        <v>267</v>
      </c>
      <c r="I301">
        <f>ROUND(1.85/10,9)</f>
        <v>0.185</v>
      </c>
      <c r="J301">
        <v>0</v>
      </c>
      <c r="O301">
        <f>ROUND(CP301,2)</f>
        <v>8654.74</v>
      </c>
      <c r="P301">
        <f>ROUND(CQ301*I301,2)</f>
        <v>0</v>
      </c>
      <c r="Q301">
        <f>ROUND(CR301*I301,2)</f>
        <v>2321.4299999999998</v>
      </c>
      <c r="R301">
        <f>ROUND(CS301*I301,2)</f>
        <v>1742.11</v>
      </c>
      <c r="S301">
        <f>ROUND(CT301*I301,2)</f>
        <v>6333.31</v>
      </c>
      <c r="T301">
        <f>ROUND(CU301*I301,2)</f>
        <v>0</v>
      </c>
      <c r="U301">
        <f>CV301*I301</f>
        <v>39.295850000000002</v>
      </c>
      <c r="V301">
        <f>CW301*I301</f>
        <v>0</v>
      </c>
      <c r="W301">
        <f>ROUND(CX301*I301,2)</f>
        <v>0</v>
      </c>
      <c r="X301">
        <f t="shared" si="168"/>
        <v>4433.32</v>
      </c>
      <c r="Y301">
        <f t="shared" si="168"/>
        <v>633.33000000000004</v>
      </c>
      <c r="AA301">
        <v>38799519</v>
      </c>
      <c r="AB301">
        <f>ROUND((AC301+AD301+AF301),6)</f>
        <v>46782.37</v>
      </c>
      <c r="AC301">
        <f>ROUND((ES301),6)</f>
        <v>0</v>
      </c>
      <c r="AD301">
        <f>ROUND((((ET301)-(EU301))+AE301),6)</f>
        <v>12548.25</v>
      </c>
      <c r="AE301">
        <f>ROUND((EU301),6)</f>
        <v>9416.83</v>
      </c>
      <c r="AF301">
        <f>ROUND((EV301),6)</f>
        <v>34234.120000000003</v>
      </c>
      <c r="AG301">
        <f>ROUND((AP301),6)</f>
        <v>0</v>
      </c>
      <c r="AH301">
        <f>(EW301)</f>
        <v>212.41</v>
      </c>
      <c r="AI301">
        <f>(EX301)</f>
        <v>0</v>
      </c>
      <c r="AJ301">
        <f>(AS301)</f>
        <v>0</v>
      </c>
      <c r="AK301">
        <v>46782.37</v>
      </c>
      <c r="AL301">
        <v>0</v>
      </c>
      <c r="AM301">
        <v>12548.25</v>
      </c>
      <c r="AN301">
        <v>9416.83</v>
      </c>
      <c r="AO301">
        <v>34234.120000000003</v>
      </c>
      <c r="AP301">
        <v>0</v>
      </c>
      <c r="AQ301">
        <v>212.41</v>
      </c>
      <c r="AR301">
        <v>0</v>
      </c>
      <c r="AS301">
        <v>0</v>
      </c>
      <c r="AT301">
        <v>70</v>
      </c>
      <c r="AU301">
        <v>10</v>
      </c>
      <c r="AV301">
        <v>1</v>
      </c>
      <c r="AW301">
        <v>1</v>
      </c>
      <c r="AZ301">
        <v>1</v>
      </c>
      <c r="BA301">
        <v>1</v>
      </c>
      <c r="BB301">
        <v>1</v>
      </c>
      <c r="BC301">
        <v>1</v>
      </c>
      <c r="BD301" t="s">
        <v>3</v>
      </c>
      <c r="BE301" t="s">
        <v>3</v>
      </c>
      <c r="BF301" t="s">
        <v>3</v>
      </c>
      <c r="BG301" t="s">
        <v>3</v>
      </c>
      <c r="BH301">
        <v>0</v>
      </c>
      <c r="BI301">
        <v>4</v>
      </c>
      <c r="BJ301" t="s">
        <v>268</v>
      </c>
      <c r="BM301">
        <v>0</v>
      </c>
      <c r="BN301">
        <v>0</v>
      </c>
      <c r="BO301" t="s">
        <v>3</v>
      </c>
      <c r="BP301">
        <v>0</v>
      </c>
      <c r="BQ301">
        <v>1</v>
      </c>
      <c r="BR301">
        <v>0</v>
      </c>
      <c r="BS301">
        <v>1</v>
      </c>
      <c r="BT301">
        <v>1</v>
      </c>
      <c r="BU301">
        <v>1</v>
      </c>
      <c r="BV301">
        <v>1</v>
      </c>
      <c r="BW301">
        <v>1</v>
      </c>
      <c r="BX301">
        <v>1</v>
      </c>
      <c r="BY301" t="s">
        <v>3</v>
      </c>
      <c r="BZ301">
        <v>70</v>
      </c>
      <c r="CA301">
        <v>10</v>
      </c>
      <c r="CE301">
        <v>0</v>
      </c>
      <c r="CF301">
        <v>0</v>
      </c>
      <c r="CG301">
        <v>0</v>
      </c>
      <c r="CM301">
        <v>0</v>
      </c>
      <c r="CN301" t="s">
        <v>3</v>
      </c>
      <c r="CO301">
        <v>0</v>
      </c>
      <c r="CP301">
        <f>(P301+Q301+S301)</f>
        <v>8654.74</v>
      </c>
      <c r="CQ301">
        <f>(AC301*BC301*AW301)</f>
        <v>0</v>
      </c>
      <c r="CR301">
        <f>((((ET301)*BB301-(EU301)*BS301)+AE301*BS301)*AV301)</f>
        <v>12548.25</v>
      </c>
      <c r="CS301">
        <f>(AE301*BS301*AV301)</f>
        <v>9416.83</v>
      </c>
      <c r="CT301">
        <f>(AF301*BA301*AV301)</f>
        <v>34234.120000000003</v>
      </c>
      <c r="CU301">
        <f>AG301</f>
        <v>0</v>
      </c>
      <c r="CV301">
        <f>(AH301*AV301)</f>
        <v>212.41</v>
      </c>
      <c r="CW301">
        <f t="shared" si="169"/>
        <v>0</v>
      </c>
      <c r="CX301">
        <f t="shared" si="169"/>
        <v>0</v>
      </c>
      <c r="CY301">
        <f>((S301*BZ301)/100)</f>
        <v>4433.317</v>
      </c>
      <c r="CZ301">
        <f>((S301*CA301)/100)</f>
        <v>633.33100000000002</v>
      </c>
      <c r="DC301" t="s">
        <v>3</v>
      </c>
      <c r="DD301" t="s">
        <v>3</v>
      </c>
      <c r="DE301" t="s">
        <v>3</v>
      </c>
      <c r="DF301" t="s">
        <v>3</v>
      </c>
      <c r="DG301" t="s">
        <v>3</v>
      </c>
      <c r="DH301" t="s">
        <v>3</v>
      </c>
      <c r="DI301" t="s">
        <v>3</v>
      </c>
      <c r="DJ301" t="s">
        <v>3</v>
      </c>
      <c r="DK301" t="s">
        <v>3</v>
      </c>
      <c r="DL301" t="s">
        <v>3</v>
      </c>
      <c r="DM301" t="s">
        <v>3</v>
      </c>
      <c r="DN301">
        <v>0</v>
      </c>
      <c r="DO301">
        <v>0</v>
      </c>
      <c r="DP301">
        <v>1</v>
      </c>
      <c r="DQ301">
        <v>1</v>
      </c>
      <c r="DU301">
        <v>1007</v>
      </c>
      <c r="DV301" t="s">
        <v>267</v>
      </c>
      <c r="DW301" t="s">
        <v>267</v>
      </c>
      <c r="DX301">
        <v>10</v>
      </c>
      <c r="EE301">
        <v>38447819</v>
      </c>
      <c r="EF301">
        <v>1</v>
      </c>
      <c r="EG301" t="s">
        <v>23</v>
      </c>
      <c r="EH301">
        <v>0</v>
      </c>
      <c r="EI301" t="s">
        <v>3</v>
      </c>
      <c r="EJ301">
        <v>4</v>
      </c>
      <c r="EK301">
        <v>0</v>
      </c>
      <c r="EL301" t="s">
        <v>24</v>
      </c>
      <c r="EM301" t="s">
        <v>25</v>
      </c>
      <c r="EO301" t="s">
        <v>3</v>
      </c>
      <c r="EQ301">
        <v>0</v>
      </c>
      <c r="ER301">
        <v>46782.37</v>
      </c>
      <c r="ES301">
        <v>0</v>
      </c>
      <c r="ET301">
        <v>12548.25</v>
      </c>
      <c r="EU301">
        <v>9416.83</v>
      </c>
      <c r="EV301">
        <v>34234.120000000003</v>
      </c>
      <c r="EW301">
        <v>212.41</v>
      </c>
      <c r="EX301">
        <v>0</v>
      </c>
      <c r="EY301">
        <v>0</v>
      </c>
      <c r="FQ301">
        <v>0</v>
      </c>
      <c r="FR301">
        <f>ROUND(IF(AND(BH301=3,BI301=3),P301,0),2)</f>
        <v>0</v>
      </c>
      <c r="FS301">
        <v>0</v>
      </c>
      <c r="FX301">
        <v>70</v>
      </c>
      <c r="FY301">
        <v>10</v>
      </c>
      <c r="GA301" t="s">
        <v>3</v>
      </c>
      <c r="GD301">
        <v>0</v>
      </c>
      <c r="GF301">
        <v>666251382</v>
      </c>
      <c r="GG301">
        <v>2</v>
      </c>
      <c r="GH301">
        <v>1</v>
      </c>
      <c r="GI301">
        <v>-2</v>
      </c>
      <c r="GJ301">
        <v>0</v>
      </c>
      <c r="GK301">
        <f>ROUND(R301*(R12)/100,2)</f>
        <v>1881.48</v>
      </c>
      <c r="GL301">
        <f>ROUND(IF(AND(BH301=3,BI301=3,FS301&lt;&gt;0),P301,0),2)</f>
        <v>0</v>
      </c>
      <c r="GM301">
        <f>ROUND(O301+X301+Y301+GK301,2)+GX301</f>
        <v>15602.87</v>
      </c>
      <c r="GN301">
        <f>IF(OR(BI301=0,BI301=1),ROUND(O301+X301+Y301+GK301,2),0)</f>
        <v>0</v>
      </c>
      <c r="GO301">
        <f>IF(BI301=2,ROUND(O301+X301+Y301+GK301,2),0)</f>
        <v>0</v>
      </c>
      <c r="GP301">
        <f>IF(BI301=4,ROUND(O301+X301+Y301+GK301,2)+GX301,0)</f>
        <v>15602.87</v>
      </c>
      <c r="GR301">
        <v>0</v>
      </c>
      <c r="GS301">
        <v>3</v>
      </c>
      <c r="GT301">
        <v>0</v>
      </c>
      <c r="GU301" t="s">
        <v>3</v>
      </c>
      <c r="GV301">
        <f>ROUND((GT301),6)</f>
        <v>0</v>
      </c>
      <c r="GW301">
        <v>1</v>
      </c>
      <c r="GX301">
        <f>ROUND(HC301*I301,2)</f>
        <v>0</v>
      </c>
      <c r="HA301">
        <v>0</v>
      </c>
      <c r="HB301">
        <v>0</v>
      </c>
      <c r="HC301">
        <f>GV301*GW301</f>
        <v>0</v>
      </c>
      <c r="HE301" t="s">
        <v>3</v>
      </c>
      <c r="HF301" t="s">
        <v>3</v>
      </c>
      <c r="IK301">
        <v>0</v>
      </c>
    </row>
    <row r="303" spans="1:245" x14ac:dyDescent="0.2">
      <c r="A303" s="2">
        <v>51</v>
      </c>
      <c r="B303" s="2">
        <f>B294</f>
        <v>1</v>
      </c>
      <c r="C303" s="2">
        <f>A294</f>
        <v>5</v>
      </c>
      <c r="D303" s="2">
        <f>ROW(A294)</f>
        <v>294</v>
      </c>
      <c r="E303" s="2"/>
      <c r="F303" s="2" t="str">
        <f>IF(F294&lt;&gt;"",F294,"")</f>
        <v>Новый подраздел</v>
      </c>
      <c r="G303" s="2" t="str">
        <f>IF(G294&lt;&gt;"",G294,"")</f>
        <v>Демонтажные работы</v>
      </c>
      <c r="H303" s="2">
        <v>0</v>
      </c>
      <c r="I303" s="2"/>
      <c r="J303" s="2"/>
      <c r="K303" s="2"/>
      <c r="L303" s="2"/>
      <c r="M303" s="2"/>
      <c r="N303" s="2"/>
      <c r="O303" s="2">
        <f t="shared" ref="O303:T303" si="170">ROUND(AB303,2)</f>
        <v>9494.77</v>
      </c>
      <c r="P303" s="2">
        <f t="shared" si="170"/>
        <v>0</v>
      </c>
      <c r="Q303" s="2">
        <f t="shared" si="170"/>
        <v>2334.08</v>
      </c>
      <c r="R303" s="2">
        <f t="shared" si="170"/>
        <v>1742.56</v>
      </c>
      <c r="S303" s="2">
        <f t="shared" si="170"/>
        <v>7160.69</v>
      </c>
      <c r="T303" s="2">
        <f t="shared" si="170"/>
        <v>0</v>
      </c>
      <c r="U303" s="2">
        <f>AH303</f>
        <v>42.89575</v>
      </c>
      <c r="V303" s="2">
        <f>AI303</f>
        <v>0</v>
      </c>
      <c r="W303" s="2">
        <f>ROUND(AJ303,2)</f>
        <v>0</v>
      </c>
      <c r="X303" s="2">
        <f>ROUND(AK303,2)</f>
        <v>5012.4799999999996</v>
      </c>
      <c r="Y303" s="2">
        <f>ROUND(AL303,2)</f>
        <v>716.07</v>
      </c>
      <c r="Z303" s="2"/>
      <c r="AA303" s="2"/>
      <c r="AB303" s="2">
        <f>ROUND(SUMIF(AA298:AA301,"=38799519",O298:O301),2)</f>
        <v>9494.77</v>
      </c>
      <c r="AC303" s="2">
        <f>ROUND(SUMIF(AA298:AA301,"=38799519",P298:P301),2)</f>
        <v>0</v>
      </c>
      <c r="AD303" s="2">
        <f>ROUND(SUMIF(AA298:AA301,"=38799519",Q298:Q301),2)</f>
        <v>2334.08</v>
      </c>
      <c r="AE303" s="2">
        <f>ROUND(SUMIF(AA298:AA301,"=38799519",R298:R301),2)</f>
        <v>1742.56</v>
      </c>
      <c r="AF303" s="2">
        <f>ROUND(SUMIF(AA298:AA301,"=38799519",S298:S301),2)</f>
        <v>7160.69</v>
      </c>
      <c r="AG303" s="2">
        <f>ROUND(SUMIF(AA298:AA301,"=38799519",T298:T301),2)</f>
        <v>0</v>
      </c>
      <c r="AH303" s="2">
        <f>SUMIF(AA298:AA301,"=38799519",U298:U301)</f>
        <v>42.89575</v>
      </c>
      <c r="AI303" s="2">
        <f>SUMIF(AA298:AA301,"=38799519",V298:V301)</f>
        <v>0</v>
      </c>
      <c r="AJ303" s="2">
        <f>ROUND(SUMIF(AA298:AA301,"=38799519",W298:W301),2)</f>
        <v>0</v>
      </c>
      <c r="AK303" s="2">
        <f>ROUND(SUMIF(AA298:AA301,"=38799519",X298:X301),2)</f>
        <v>5012.4799999999996</v>
      </c>
      <c r="AL303" s="2">
        <f>ROUND(SUMIF(AA298:AA301,"=38799519",Y298:Y301),2)</f>
        <v>716.07</v>
      </c>
      <c r="AM303" s="2"/>
      <c r="AN303" s="2"/>
      <c r="AO303" s="2">
        <f t="shared" ref="AO303:BD303" si="171">ROUND(BX303,2)</f>
        <v>0</v>
      </c>
      <c r="AP303" s="2">
        <f t="shared" si="171"/>
        <v>0</v>
      </c>
      <c r="AQ303" s="2">
        <f t="shared" si="171"/>
        <v>0</v>
      </c>
      <c r="AR303" s="2">
        <f t="shared" si="171"/>
        <v>17105.29</v>
      </c>
      <c r="AS303" s="2">
        <f t="shared" si="171"/>
        <v>0</v>
      </c>
      <c r="AT303" s="2">
        <f t="shared" si="171"/>
        <v>0</v>
      </c>
      <c r="AU303" s="2">
        <f t="shared" si="171"/>
        <v>17105.29</v>
      </c>
      <c r="AV303" s="2">
        <f t="shared" si="171"/>
        <v>0</v>
      </c>
      <c r="AW303" s="2">
        <f t="shared" si="171"/>
        <v>0</v>
      </c>
      <c r="AX303" s="2">
        <f t="shared" si="171"/>
        <v>0</v>
      </c>
      <c r="AY303" s="2">
        <f t="shared" si="171"/>
        <v>0</v>
      </c>
      <c r="AZ303" s="2">
        <f t="shared" si="171"/>
        <v>0</v>
      </c>
      <c r="BA303" s="2">
        <f t="shared" si="171"/>
        <v>0</v>
      </c>
      <c r="BB303" s="2">
        <f t="shared" si="171"/>
        <v>0</v>
      </c>
      <c r="BC303" s="2">
        <f t="shared" si="171"/>
        <v>0</v>
      </c>
      <c r="BD303" s="2">
        <f t="shared" si="171"/>
        <v>0</v>
      </c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>
        <f>ROUND(SUMIF(AA298:AA301,"=38799519",FQ298:FQ301),2)</f>
        <v>0</v>
      </c>
      <c r="BY303" s="2">
        <f>ROUND(SUMIF(AA298:AA301,"=38799519",FR298:FR301),2)</f>
        <v>0</v>
      </c>
      <c r="BZ303" s="2">
        <f>ROUND(SUMIF(AA298:AA301,"=38799519",GL298:GL301),2)</f>
        <v>0</v>
      </c>
      <c r="CA303" s="2">
        <f>ROUND(SUMIF(AA298:AA301,"=38799519",GM298:GM301),2)</f>
        <v>17105.29</v>
      </c>
      <c r="CB303" s="2">
        <f>ROUND(SUMIF(AA298:AA301,"=38799519",GN298:GN301),2)</f>
        <v>0</v>
      </c>
      <c r="CC303" s="2">
        <f>ROUND(SUMIF(AA298:AA301,"=38799519",GO298:GO301),2)</f>
        <v>0</v>
      </c>
      <c r="CD303" s="2">
        <f>ROUND(SUMIF(AA298:AA301,"=38799519",GP298:GP301),2)</f>
        <v>17105.29</v>
      </c>
      <c r="CE303" s="2">
        <f>AC303-BX303</f>
        <v>0</v>
      </c>
      <c r="CF303" s="2">
        <f>AC303-BY303</f>
        <v>0</v>
      </c>
      <c r="CG303" s="2">
        <f>BX303-BZ303</f>
        <v>0</v>
      </c>
      <c r="CH303" s="2">
        <f>AC303-BX303-BY303+BZ303</f>
        <v>0</v>
      </c>
      <c r="CI303" s="2">
        <f>BY303-BZ303</f>
        <v>0</v>
      </c>
      <c r="CJ303" s="2">
        <f>ROUND(SUMIF(AA298:AA301,"=38799519",GX298:GX301),2)</f>
        <v>0</v>
      </c>
      <c r="CK303" s="2">
        <f>ROUND(SUMIF(AA298:AA301,"=38799519",GY298:GY301),2)</f>
        <v>0</v>
      </c>
      <c r="CL303" s="2">
        <f>ROUND(SUMIF(AA298:AA301,"=38799519",GZ298:GZ301),2)</f>
        <v>0</v>
      </c>
      <c r="CM303" s="2">
        <f>ROUND(SUMIF(AA298:AA301,"=38799519",HD298:HD301),2)</f>
        <v>0</v>
      </c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>
        <v>0</v>
      </c>
    </row>
    <row r="305" spans="1:23" x14ac:dyDescent="0.2">
      <c r="A305" s="4">
        <v>50</v>
      </c>
      <c r="B305" s="4">
        <v>0</v>
      </c>
      <c r="C305" s="4">
        <v>0</v>
      </c>
      <c r="D305" s="4">
        <v>1</v>
      </c>
      <c r="E305" s="4">
        <v>201</v>
      </c>
      <c r="F305" s="4">
        <f>ROUND(Source!O303,O305)</f>
        <v>9494.77</v>
      </c>
      <c r="G305" s="4" t="s">
        <v>50</v>
      </c>
      <c r="H305" s="4" t="s">
        <v>51</v>
      </c>
      <c r="I305" s="4"/>
      <c r="J305" s="4"/>
      <c r="K305" s="4">
        <v>201</v>
      </c>
      <c r="L305" s="4">
        <v>1</v>
      </c>
      <c r="M305" s="4">
        <v>3</v>
      </c>
      <c r="N305" s="4" t="s">
        <v>3</v>
      </c>
      <c r="O305" s="4">
        <v>2</v>
      </c>
      <c r="P305" s="4"/>
      <c r="Q305" s="4"/>
      <c r="R305" s="4"/>
      <c r="S305" s="4"/>
      <c r="T305" s="4"/>
      <c r="U305" s="4"/>
      <c r="V305" s="4"/>
      <c r="W305" s="4"/>
    </row>
    <row r="306" spans="1:23" x14ac:dyDescent="0.2">
      <c r="A306" s="4">
        <v>50</v>
      </c>
      <c r="B306" s="4">
        <v>0</v>
      </c>
      <c r="C306" s="4">
        <v>0</v>
      </c>
      <c r="D306" s="4">
        <v>1</v>
      </c>
      <c r="E306" s="4">
        <v>202</v>
      </c>
      <c r="F306" s="4">
        <f>ROUND(Source!P303,O306)</f>
        <v>0</v>
      </c>
      <c r="G306" s="4" t="s">
        <v>52</v>
      </c>
      <c r="H306" s="4" t="s">
        <v>53</v>
      </c>
      <c r="I306" s="4"/>
      <c r="J306" s="4"/>
      <c r="K306" s="4">
        <v>202</v>
      </c>
      <c r="L306" s="4">
        <v>2</v>
      </c>
      <c r="M306" s="4">
        <v>3</v>
      </c>
      <c r="N306" s="4" t="s">
        <v>3</v>
      </c>
      <c r="O306" s="4">
        <v>2</v>
      </c>
      <c r="P306" s="4"/>
      <c r="Q306" s="4"/>
      <c r="R306" s="4"/>
      <c r="S306" s="4"/>
      <c r="T306" s="4"/>
      <c r="U306" s="4"/>
      <c r="V306" s="4"/>
      <c r="W306" s="4"/>
    </row>
    <row r="307" spans="1:23" x14ac:dyDescent="0.2">
      <c r="A307" s="4">
        <v>50</v>
      </c>
      <c r="B307" s="4">
        <v>0</v>
      </c>
      <c r="C307" s="4">
        <v>0</v>
      </c>
      <c r="D307" s="4">
        <v>1</v>
      </c>
      <c r="E307" s="4">
        <v>222</v>
      </c>
      <c r="F307" s="4">
        <f>ROUND(Source!AO303,O307)</f>
        <v>0</v>
      </c>
      <c r="G307" s="4" t="s">
        <v>54</v>
      </c>
      <c r="H307" s="4" t="s">
        <v>55</v>
      </c>
      <c r="I307" s="4"/>
      <c r="J307" s="4"/>
      <c r="K307" s="4">
        <v>222</v>
      </c>
      <c r="L307" s="4">
        <v>3</v>
      </c>
      <c r="M307" s="4">
        <v>3</v>
      </c>
      <c r="N307" s="4" t="s">
        <v>3</v>
      </c>
      <c r="O307" s="4">
        <v>2</v>
      </c>
      <c r="P307" s="4"/>
      <c r="Q307" s="4"/>
      <c r="R307" s="4"/>
      <c r="S307" s="4"/>
      <c r="T307" s="4"/>
      <c r="U307" s="4"/>
      <c r="V307" s="4"/>
      <c r="W307" s="4"/>
    </row>
    <row r="308" spans="1:23" x14ac:dyDescent="0.2">
      <c r="A308" s="4">
        <v>50</v>
      </c>
      <c r="B308" s="4">
        <v>0</v>
      </c>
      <c r="C308" s="4">
        <v>0</v>
      </c>
      <c r="D308" s="4">
        <v>1</v>
      </c>
      <c r="E308" s="4">
        <v>225</v>
      </c>
      <c r="F308" s="4">
        <f>ROUND(Source!AV303,O308)</f>
        <v>0</v>
      </c>
      <c r="G308" s="4" t="s">
        <v>56</v>
      </c>
      <c r="H308" s="4" t="s">
        <v>57</v>
      </c>
      <c r="I308" s="4"/>
      <c r="J308" s="4"/>
      <c r="K308" s="4">
        <v>225</v>
      </c>
      <c r="L308" s="4">
        <v>4</v>
      </c>
      <c r="M308" s="4">
        <v>3</v>
      </c>
      <c r="N308" s="4" t="s">
        <v>3</v>
      </c>
      <c r="O308" s="4">
        <v>2</v>
      </c>
      <c r="P308" s="4"/>
      <c r="Q308" s="4"/>
      <c r="R308" s="4"/>
      <c r="S308" s="4"/>
      <c r="T308" s="4"/>
      <c r="U308" s="4"/>
      <c r="V308" s="4"/>
      <c r="W308" s="4"/>
    </row>
    <row r="309" spans="1:23" x14ac:dyDescent="0.2">
      <c r="A309" s="4">
        <v>50</v>
      </c>
      <c r="B309" s="4">
        <v>0</v>
      </c>
      <c r="C309" s="4">
        <v>0</v>
      </c>
      <c r="D309" s="4">
        <v>1</v>
      </c>
      <c r="E309" s="4">
        <v>226</v>
      </c>
      <c r="F309" s="4">
        <f>ROUND(Source!AW303,O309)</f>
        <v>0</v>
      </c>
      <c r="G309" s="4" t="s">
        <v>58</v>
      </c>
      <c r="H309" s="4" t="s">
        <v>59</v>
      </c>
      <c r="I309" s="4"/>
      <c r="J309" s="4"/>
      <c r="K309" s="4">
        <v>226</v>
      </c>
      <c r="L309" s="4">
        <v>5</v>
      </c>
      <c r="M309" s="4">
        <v>3</v>
      </c>
      <c r="N309" s="4" t="s">
        <v>3</v>
      </c>
      <c r="O309" s="4">
        <v>2</v>
      </c>
      <c r="P309" s="4"/>
      <c r="Q309" s="4"/>
      <c r="R309" s="4"/>
      <c r="S309" s="4"/>
      <c r="T309" s="4"/>
      <c r="U309" s="4"/>
      <c r="V309" s="4"/>
      <c r="W309" s="4"/>
    </row>
    <row r="310" spans="1:23" x14ac:dyDescent="0.2">
      <c r="A310" s="4">
        <v>50</v>
      </c>
      <c r="B310" s="4">
        <v>0</v>
      </c>
      <c r="C310" s="4">
        <v>0</v>
      </c>
      <c r="D310" s="4">
        <v>1</v>
      </c>
      <c r="E310" s="4">
        <v>227</v>
      </c>
      <c r="F310" s="4">
        <f>ROUND(Source!AX303,O310)</f>
        <v>0</v>
      </c>
      <c r="G310" s="4" t="s">
        <v>60</v>
      </c>
      <c r="H310" s="4" t="s">
        <v>61</v>
      </c>
      <c r="I310" s="4"/>
      <c r="J310" s="4"/>
      <c r="K310" s="4">
        <v>227</v>
      </c>
      <c r="L310" s="4">
        <v>6</v>
      </c>
      <c r="M310" s="4">
        <v>3</v>
      </c>
      <c r="N310" s="4" t="s">
        <v>3</v>
      </c>
      <c r="O310" s="4">
        <v>2</v>
      </c>
      <c r="P310" s="4"/>
      <c r="Q310" s="4"/>
      <c r="R310" s="4"/>
      <c r="S310" s="4"/>
      <c r="T310" s="4"/>
      <c r="U310" s="4"/>
      <c r="V310" s="4"/>
      <c r="W310" s="4"/>
    </row>
    <row r="311" spans="1:23" x14ac:dyDescent="0.2">
      <c r="A311" s="4">
        <v>50</v>
      </c>
      <c r="B311" s="4">
        <v>0</v>
      </c>
      <c r="C311" s="4">
        <v>0</v>
      </c>
      <c r="D311" s="4">
        <v>1</v>
      </c>
      <c r="E311" s="4">
        <v>228</v>
      </c>
      <c r="F311" s="4">
        <f>ROUND(Source!AY303,O311)</f>
        <v>0</v>
      </c>
      <c r="G311" s="4" t="s">
        <v>62</v>
      </c>
      <c r="H311" s="4" t="s">
        <v>63</v>
      </c>
      <c r="I311" s="4"/>
      <c r="J311" s="4"/>
      <c r="K311" s="4">
        <v>228</v>
      </c>
      <c r="L311" s="4">
        <v>7</v>
      </c>
      <c r="M311" s="4">
        <v>3</v>
      </c>
      <c r="N311" s="4" t="s">
        <v>3</v>
      </c>
      <c r="O311" s="4">
        <v>2</v>
      </c>
      <c r="P311" s="4"/>
      <c r="Q311" s="4"/>
      <c r="R311" s="4"/>
      <c r="S311" s="4"/>
      <c r="T311" s="4"/>
      <c r="U311" s="4"/>
      <c r="V311" s="4"/>
      <c r="W311" s="4"/>
    </row>
    <row r="312" spans="1:23" x14ac:dyDescent="0.2">
      <c r="A312" s="4">
        <v>50</v>
      </c>
      <c r="B312" s="4">
        <v>0</v>
      </c>
      <c r="C312" s="4">
        <v>0</v>
      </c>
      <c r="D312" s="4">
        <v>1</v>
      </c>
      <c r="E312" s="4">
        <v>216</v>
      </c>
      <c r="F312" s="4">
        <f>ROUND(Source!AP303,O312)</f>
        <v>0</v>
      </c>
      <c r="G312" s="4" t="s">
        <v>64</v>
      </c>
      <c r="H312" s="4" t="s">
        <v>65</v>
      </c>
      <c r="I312" s="4"/>
      <c r="J312" s="4"/>
      <c r="K312" s="4">
        <v>216</v>
      </c>
      <c r="L312" s="4">
        <v>8</v>
      </c>
      <c r="M312" s="4">
        <v>3</v>
      </c>
      <c r="N312" s="4" t="s">
        <v>3</v>
      </c>
      <c r="O312" s="4">
        <v>2</v>
      </c>
      <c r="P312" s="4"/>
      <c r="Q312" s="4"/>
      <c r="R312" s="4"/>
      <c r="S312" s="4"/>
      <c r="T312" s="4"/>
      <c r="U312" s="4"/>
      <c r="V312" s="4"/>
      <c r="W312" s="4"/>
    </row>
    <row r="313" spans="1:23" x14ac:dyDescent="0.2">
      <c r="A313" s="4">
        <v>50</v>
      </c>
      <c r="B313" s="4">
        <v>0</v>
      </c>
      <c r="C313" s="4">
        <v>0</v>
      </c>
      <c r="D313" s="4">
        <v>1</v>
      </c>
      <c r="E313" s="4">
        <v>223</v>
      </c>
      <c r="F313" s="4">
        <f>ROUND(Source!AQ303,O313)</f>
        <v>0</v>
      </c>
      <c r="G313" s="4" t="s">
        <v>66</v>
      </c>
      <c r="H313" s="4" t="s">
        <v>67</v>
      </c>
      <c r="I313" s="4"/>
      <c r="J313" s="4"/>
      <c r="K313" s="4">
        <v>223</v>
      </c>
      <c r="L313" s="4">
        <v>9</v>
      </c>
      <c r="M313" s="4">
        <v>3</v>
      </c>
      <c r="N313" s="4" t="s">
        <v>3</v>
      </c>
      <c r="O313" s="4">
        <v>2</v>
      </c>
      <c r="P313" s="4"/>
      <c r="Q313" s="4"/>
      <c r="R313" s="4"/>
      <c r="S313" s="4"/>
      <c r="T313" s="4"/>
      <c r="U313" s="4"/>
      <c r="V313" s="4"/>
      <c r="W313" s="4"/>
    </row>
    <row r="314" spans="1:23" x14ac:dyDescent="0.2">
      <c r="A314" s="4">
        <v>50</v>
      </c>
      <c r="B314" s="4">
        <v>0</v>
      </c>
      <c r="C314" s="4">
        <v>0</v>
      </c>
      <c r="D314" s="4">
        <v>1</v>
      </c>
      <c r="E314" s="4">
        <v>229</v>
      </c>
      <c r="F314" s="4">
        <f>ROUND(Source!AZ303,O314)</f>
        <v>0</v>
      </c>
      <c r="G314" s="4" t="s">
        <v>68</v>
      </c>
      <c r="H314" s="4" t="s">
        <v>69</v>
      </c>
      <c r="I314" s="4"/>
      <c r="J314" s="4"/>
      <c r="K314" s="4">
        <v>229</v>
      </c>
      <c r="L314" s="4">
        <v>10</v>
      </c>
      <c r="M314" s="4">
        <v>3</v>
      </c>
      <c r="N314" s="4" t="s">
        <v>3</v>
      </c>
      <c r="O314" s="4">
        <v>2</v>
      </c>
      <c r="P314" s="4"/>
      <c r="Q314" s="4"/>
      <c r="R314" s="4"/>
      <c r="S314" s="4"/>
      <c r="T314" s="4"/>
      <c r="U314" s="4"/>
      <c r="V314" s="4"/>
      <c r="W314" s="4"/>
    </row>
    <row r="315" spans="1:23" x14ac:dyDescent="0.2">
      <c r="A315" s="4">
        <v>50</v>
      </c>
      <c r="B315" s="4">
        <v>0</v>
      </c>
      <c r="C315" s="4">
        <v>0</v>
      </c>
      <c r="D315" s="4">
        <v>1</v>
      </c>
      <c r="E315" s="4">
        <v>203</v>
      </c>
      <c r="F315" s="4">
        <f>ROUND(Source!Q303,O315)</f>
        <v>2334.08</v>
      </c>
      <c r="G315" s="4" t="s">
        <v>70</v>
      </c>
      <c r="H315" s="4" t="s">
        <v>71</v>
      </c>
      <c r="I315" s="4"/>
      <c r="J315" s="4"/>
      <c r="K315" s="4">
        <v>203</v>
      </c>
      <c r="L315" s="4">
        <v>11</v>
      </c>
      <c r="M315" s="4">
        <v>3</v>
      </c>
      <c r="N315" s="4" t="s">
        <v>3</v>
      </c>
      <c r="O315" s="4">
        <v>2</v>
      </c>
      <c r="P315" s="4"/>
      <c r="Q315" s="4"/>
      <c r="R315" s="4"/>
      <c r="S315" s="4"/>
      <c r="T315" s="4"/>
      <c r="U315" s="4"/>
      <c r="V315" s="4"/>
      <c r="W315" s="4"/>
    </row>
    <row r="316" spans="1:23" x14ac:dyDescent="0.2">
      <c r="A316" s="4">
        <v>50</v>
      </c>
      <c r="B316" s="4">
        <v>0</v>
      </c>
      <c r="C316" s="4">
        <v>0</v>
      </c>
      <c r="D316" s="4">
        <v>1</v>
      </c>
      <c r="E316" s="4">
        <v>231</v>
      </c>
      <c r="F316" s="4">
        <f>ROUND(Source!BB303,O316)</f>
        <v>0</v>
      </c>
      <c r="G316" s="4" t="s">
        <v>72</v>
      </c>
      <c r="H316" s="4" t="s">
        <v>73</v>
      </c>
      <c r="I316" s="4"/>
      <c r="J316" s="4"/>
      <c r="K316" s="4">
        <v>231</v>
      </c>
      <c r="L316" s="4">
        <v>12</v>
      </c>
      <c r="M316" s="4">
        <v>3</v>
      </c>
      <c r="N316" s="4" t="s">
        <v>3</v>
      </c>
      <c r="O316" s="4">
        <v>2</v>
      </c>
      <c r="P316" s="4"/>
      <c r="Q316" s="4"/>
      <c r="R316" s="4"/>
      <c r="S316" s="4"/>
      <c r="T316" s="4"/>
      <c r="U316" s="4"/>
      <c r="V316" s="4"/>
      <c r="W316" s="4"/>
    </row>
    <row r="317" spans="1:23" x14ac:dyDescent="0.2">
      <c r="A317" s="4">
        <v>50</v>
      </c>
      <c r="B317" s="4">
        <v>0</v>
      </c>
      <c r="C317" s="4">
        <v>0</v>
      </c>
      <c r="D317" s="4">
        <v>1</v>
      </c>
      <c r="E317" s="4">
        <v>204</v>
      </c>
      <c r="F317" s="4">
        <f>ROUND(Source!R303,O317)</f>
        <v>1742.56</v>
      </c>
      <c r="G317" s="4" t="s">
        <v>74</v>
      </c>
      <c r="H317" s="4" t="s">
        <v>75</v>
      </c>
      <c r="I317" s="4"/>
      <c r="J317" s="4"/>
      <c r="K317" s="4">
        <v>204</v>
      </c>
      <c r="L317" s="4">
        <v>13</v>
      </c>
      <c r="M317" s="4">
        <v>3</v>
      </c>
      <c r="N317" s="4" t="s">
        <v>3</v>
      </c>
      <c r="O317" s="4">
        <v>2</v>
      </c>
      <c r="P317" s="4"/>
      <c r="Q317" s="4"/>
      <c r="R317" s="4"/>
      <c r="S317" s="4"/>
      <c r="T317" s="4"/>
      <c r="U317" s="4"/>
      <c r="V317" s="4"/>
      <c r="W317" s="4"/>
    </row>
    <row r="318" spans="1:23" x14ac:dyDescent="0.2">
      <c r="A318" s="4">
        <v>50</v>
      </c>
      <c r="B318" s="4">
        <v>0</v>
      </c>
      <c r="C318" s="4">
        <v>0</v>
      </c>
      <c r="D318" s="4">
        <v>1</v>
      </c>
      <c r="E318" s="4">
        <v>205</v>
      </c>
      <c r="F318" s="4">
        <f>ROUND(Source!S303,O318)</f>
        <v>7160.69</v>
      </c>
      <c r="G318" s="4" t="s">
        <v>76</v>
      </c>
      <c r="H318" s="4" t="s">
        <v>77</v>
      </c>
      <c r="I318" s="4"/>
      <c r="J318" s="4"/>
      <c r="K318" s="4">
        <v>205</v>
      </c>
      <c r="L318" s="4">
        <v>14</v>
      </c>
      <c r="M318" s="4">
        <v>3</v>
      </c>
      <c r="N318" s="4" t="s">
        <v>3</v>
      </c>
      <c r="O318" s="4">
        <v>2</v>
      </c>
      <c r="P318" s="4"/>
      <c r="Q318" s="4"/>
      <c r="R318" s="4"/>
      <c r="S318" s="4"/>
      <c r="T318" s="4"/>
      <c r="U318" s="4"/>
      <c r="V318" s="4"/>
      <c r="W318" s="4"/>
    </row>
    <row r="319" spans="1:23" x14ac:dyDescent="0.2">
      <c r="A319" s="4">
        <v>50</v>
      </c>
      <c r="B319" s="4">
        <v>0</v>
      </c>
      <c r="C319" s="4">
        <v>0</v>
      </c>
      <c r="D319" s="4">
        <v>1</v>
      </c>
      <c r="E319" s="4">
        <v>232</v>
      </c>
      <c r="F319" s="4">
        <f>ROUND(Source!BC303,O319)</f>
        <v>0</v>
      </c>
      <c r="G319" s="4" t="s">
        <v>78</v>
      </c>
      <c r="H319" s="4" t="s">
        <v>79</v>
      </c>
      <c r="I319" s="4"/>
      <c r="J319" s="4"/>
      <c r="K319" s="4">
        <v>232</v>
      </c>
      <c r="L319" s="4">
        <v>15</v>
      </c>
      <c r="M319" s="4">
        <v>3</v>
      </c>
      <c r="N319" s="4" t="s">
        <v>3</v>
      </c>
      <c r="O319" s="4">
        <v>2</v>
      </c>
      <c r="P319" s="4"/>
      <c r="Q319" s="4"/>
      <c r="R319" s="4"/>
      <c r="S319" s="4"/>
      <c r="T319" s="4"/>
      <c r="U319" s="4"/>
      <c r="V319" s="4"/>
      <c r="W319" s="4"/>
    </row>
    <row r="320" spans="1:23" x14ac:dyDescent="0.2">
      <c r="A320" s="4">
        <v>50</v>
      </c>
      <c r="B320" s="4">
        <v>0</v>
      </c>
      <c r="C320" s="4">
        <v>0</v>
      </c>
      <c r="D320" s="4">
        <v>1</v>
      </c>
      <c r="E320" s="4">
        <v>214</v>
      </c>
      <c r="F320" s="4">
        <f>ROUND(Source!AS303,O320)</f>
        <v>0</v>
      </c>
      <c r="G320" s="4" t="s">
        <v>80</v>
      </c>
      <c r="H320" s="4" t="s">
        <v>81</v>
      </c>
      <c r="I320" s="4"/>
      <c r="J320" s="4"/>
      <c r="K320" s="4">
        <v>214</v>
      </c>
      <c r="L320" s="4">
        <v>16</v>
      </c>
      <c r="M320" s="4">
        <v>3</v>
      </c>
      <c r="N320" s="4" t="s">
        <v>3</v>
      </c>
      <c r="O320" s="4">
        <v>2</v>
      </c>
      <c r="P320" s="4"/>
      <c r="Q320" s="4"/>
      <c r="R320" s="4"/>
      <c r="S320" s="4"/>
      <c r="T320" s="4"/>
      <c r="U320" s="4"/>
      <c r="V320" s="4"/>
      <c r="W320" s="4"/>
    </row>
    <row r="321" spans="1:206" x14ac:dyDescent="0.2">
      <c r="A321" s="4">
        <v>50</v>
      </c>
      <c r="B321" s="4">
        <v>0</v>
      </c>
      <c r="C321" s="4">
        <v>0</v>
      </c>
      <c r="D321" s="4">
        <v>1</v>
      </c>
      <c r="E321" s="4">
        <v>215</v>
      </c>
      <c r="F321" s="4">
        <f>ROUND(Source!AT303,O321)</f>
        <v>0</v>
      </c>
      <c r="G321" s="4" t="s">
        <v>82</v>
      </c>
      <c r="H321" s="4" t="s">
        <v>83</v>
      </c>
      <c r="I321" s="4"/>
      <c r="J321" s="4"/>
      <c r="K321" s="4">
        <v>215</v>
      </c>
      <c r="L321" s="4">
        <v>17</v>
      </c>
      <c r="M321" s="4">
        <v>3</v>
      </c>
      <c r="N321" s="4" t="s">
        <v>3</v>
      </c>
      <c r="O321" s="4">
        <v>2</v>
      </c>
      <c r="P321" s="4"/>
      <c r="Q321" s="4"/>
      <c r="R321" s="4"/>
      <c r="S321" s="4"/>
      <c r="T321" s="4"/>
      <c r="U321" s="4"/>
      <c r="V321" s="4"/>
      <c r="W321" s="4"/>
    </row>
    <row r="322" spans="1:206" x14ac:dyDescent="0.2">
      <c r="A322" s="4">
        <v>50</v>
      </c>
      <c r="B322" s="4">
        <v>0</v>
      </c>
      <c r="C322" s="4">
        <v>0</v>
      </c>
      <c r="D322" s="4">
        <v>1</v>
      </c>
      <c r="E322" s="4">
        <v>217</v>
      </c>
      <c r="F322" s="4">
        <f>ROUND(Source!AU303,O322)</f>
        <v>17105.29</v>
      </c>
      <c r="G322" s="4" t="s">
        <v>84</v>
      </c>
      <c r="H322" s="4" t="s">
        <v>85</v>
      </c>
      <c r="I322" s="4"/>
      <c r="J322" s="4"/>
      <c r="K322" s="4">
        <v>217</v>
      </c>
      <c r="L322" s="4">
        <v>18</v>
      </c>
      <c r="M322" s="4">
        <v>3</v>
      </c>
      <c r="N322" s="4" t="s">
        <v>3</v>
      </c>
      <c r="O322" s="4">
        <v>2</v>
      </c>
      <c r="P322" s="4"/>
      <c r="Q322" s="4"/>
      <c r="R322" s="4"/>
      <c r="S322" s="4"/>
      <c r="T322" s="4"/>
      <c r="U322" s="4"/>
      <c r="V322" s="4"/>
      <c r="W322" s="4"/>
    </row>
    <row r="323" spans="1:206" x14ac:dyDescent="0.2">
      <c r="A323" s="4">
        <v>50</v>
      </c>
      <c r="B323" s="4">
        <v>0</v>
      </c>
      <c r="C323" s="4">
        <v>0</v>
      </c>
      <c r="D323" s="4">
        <v>1</v>
      </c>
      <c r="E323" s="4">
        <v>230</v>
      </c>
      <c r="F323" s="4">
        <f>ROUND(Source!BA303,O323)</f>
        <v>0</v>
      </c>
      <c r="G323" s="4" t="s">
        <v>86</v>
      </c>
      <c r="H323" s="4" t="s">
        <v>87</v>
      </c>
      <c r="I323" s="4"/>
      <c r="J323" s="4"/>
      <c r="K323" s="4">
        <v>230</v>
      </c>
      <c r="L323" s="4">
        <v>19</v>
      </c>
      <c r="M323" s="4">
        <v>3</v>
      </c>
      <c r="N323" s="4" t="s">
        <v>3</v>
      </c>
      <c r="O323" s="4">
        <v>2</v>
      </c>
      <c r="P323" s="4"/>
      <c r="Q323" s="4"/>
      <c r="R323" s="4"/>
      <c r="S323" s="4"/>
      <c r="T323" s="4"/>
      <c r="U323" s="4"/>
      <c r="V323" s="4"/>
      <c r="W323" s="4"/>
    </row>
    <row r="324" spans="1:206" x14ac:dyDescent="0.2">
      <c r="A324" s="4">
        <v>50</v>
      </c>
      <c r="B324" s="4">
        <v>0</v>
      </c>
      <c r="C324" s="4">
        <v>0</v>
      </c>
      <c r="D324" s="4">
        <v>1</v>
      </c>
      <c r="E324" s="4">
        <v>206</v>
      </c>
      <c r="F324" s="4">
        <f>ROUND(Source!T303,O324)</f>
        <v>0</v>
      </c>
      <c r="G324" s="4" t="s">
        <v>88</v>
      </c>
      <c r="H324" s="4" t="s">
        <v>89</v>
      </c>
      <c r="I324" s="4"/>
      <c r="J324" s="4"/>
      <c r="K324" s="4">
        <v>206</v>
      </c>
      <c r="L324" s="4">
        <v>20</v>
      </c>
      <c r="M324" s="4">
        <v>3</v>
      </c>
      <c r="N324" s="4" t="s">
        <v>3</v>
      </c>
      <c r="O324" s="4">
        <v>2</v>
      </c>
      <c r="P324" s="4"/>
      <c r="Q324" s="4"/>
      <c r="R324" s="4"/>
      <c r="S324" s="4"/>
      <c r="T324" s="4"/>
      <c r="U324" s="4"/>
      <c r="V324" s="4"/>
      <c r="W324" s="4"/>
    </row>
    <row r="325" spans="1:206" x14ac:dyDescent="0.2">
      <c r="A325" s="4">
        <v>50</v>
      </c>
      <c r="B325" s="4">
        <v>0</v>
      </c>
      <c r="C325" s="4">
        <v>0</v>
      </c>
      <c r="D325" s="4">
        <v>1</v>
      </c>
      <c r="E325" s="4">
        <v>207</v>
      </c>
      <c r="F325" s="4">
        <f>Source!U303</f>
        <v>42.89575</v>
      </c>
      <c r="G325" s="4" t="s">
        <v>90</v>
      </c>
      <c r="H325" s="4" t="s">
        <v>91</v>
      </c>
      <c r="I325" s="4"/>
      <c r="J325" s="4"/>
      <c r="K325" s="4">
        <v>207</v>
      </c>
      <c r="L325" s="4">
        <v>21</v>
      </c>
      <c r="M325" s="4">
        <v>3</v>
      </c>
      <c r="N325" s="4" t="s">
        <v>3</v>
      </c>
      <c r="O325" s="4">
        <v>-1</v>
      </c>
      <c r="P325" s="4"/>
      <c r="Q325" s="4"/>
      <c r="R325" s="4"/>
      <c r="S325" s="4"/>
      <c r="T325" s="4"/>
      <c r="U325" s="4"/>
      <c r="V325" s="4"/>
      <c r="W325" s="4"/>
    </row>
    <row r="326" spans="1:206" x14ac:dyDescent="0.2">
      <c r="A326" s="4">
        <v>50</v>
      </c>
      <c r="B326" s="4">
        <v>0</v>
      </c>
      <c r="C326" s="4">
        <v>0</v>
      </c>
      <c r="D326" s="4">
        <v>1</v>
      </c>
      <c r="E326" s="4">
        <v>208</v>
      </c>
      <c r="F326" s="4">
        <f>Source!V303</f>
        <v>0</v>
      </c>
      <c r="G326" s="4" t="s">
        <v>92</v>
      </c>
      <c r="H326" s="4" t="s">
        <v>93</v>
      </c>
      <c r="I326" s="4"/>
      <c r="J326" s="4"/>
      <c r="K326" s="4">
        <v>208</v>
      </c>
      <c r="L326" s="4">
        <v>22</v>
      </c>
      <c r="M326" s="4">
        <v>3</v>
      </c>
      <c r="N326" s="4" t="s">
        <v>3</v>
      </c>
      <c r="O326" s="4">
        <v>-1</v>
      </c>
      <c r="P326" s="4"/>
      <c r="Q326" s="4"/>
      <c r="R326" s="4"/>
      <c r="S326" s="4"/>
      <c r="T326" s="4"/>
      <c r="U326" s="4"/>
      <c r="V326" s="4"/>
      <c r="W326" s="4"/>
    </row>
    <row r="327" spans="1:206" x14ac:dyDescent="0.2">
      <c r="A327" s="4">
        <v>50</v>
      </c>
      <c r="B327" s="4">
        <v>0</v>
      </c>
      <c r="C327" s="4">
        <v>0</v>
      </c>
      <c r="D327" s="4">
        <v>1</v>
      </c>
      <c r="E327" s="4">
        <v>209</v>
      </c>
      <c r="F327" s="4">
        <f>ROUND(Source!W303,O327)</f>
        <v>0</v>
      </c>
      <c r="G327" s="4" t="s">
        <v>94</v>
      </c>
      <c r="H327" s="4" t="s">
        <v>95</v>
      </c>
      <c r="I327" s="4"/>
      <c r="J327" s="4"/>
      <c r="K327" s="4">
        <v>209</v>
      </c>
      <c r="L327" s="4">
        <v>23</v>
      </c>
      <c r="M327" s="4">
        <v>3</v>
      </c>
      <c r="N327" s="4" t="s">
        <v>3</v>
      </c>
      <c r="O327" s="4">
        <v>2</v>
      </c>
      <c r="P327" s="4"/>
      <c r="Q327" s="4"/>
      <c r="R327" s="4"/>
      <c r="S327" s="4"/>
      <c r="T327" s="4"/>
      <c r="U327" s="4"/>
      <c r="V327" s="4"/>
      <c r="W327" s="4"/>
    </row>
    <row r="328" spans="1:206" x14ac:dyDescent="0.2">
      <c r="A328" s="4">
        <v>50</v>
      </c>
      <c r="B328" s="4">
        <v>0</v>
      </c>
      <c r="C328" s="4">
        <v>0</v>
      </c>
      <c r="D328" s="4">
        <v>1</v>
      </c>
      <c r="E328" s="4">
        <v>233</v>
      </c>
      <c r="F328" s="4">
        <f>ROUND(Source!BD303,O328)</f>
        <v>0</v>
      </c>
      <c r="G328" s="4" t="s">
        <v>96</v>
      </c>
      <c r="H328" s="4" t="s">
        <v>97</v>
      </c>
      <c r="I328" s="4"/>
      <c r="J328" s="4"/>
      <c r="K328" s="4">
        <v>233</v>
      </c>
      <c r="L328" s="4">
        <v>24</v>
      </c>
      <c r="M328" s="4">
        <v>3</v>
      </c>
      <c r="N328" s="4" t="s">
        <v>3</v>
      </c>
      <c r="O328" s="4">
        <v>2</v>
      </c>
      <c r="P328" s="4"/>
      <c r="Q328" s="4"/>
      <c r="R328" s="4"/>
      <c r="S328" s="4"/>
      <c r="T328" s="4"/>
      <c r="U328" s="4"/>
      <c r="V328" s="4"/>
      <c r="W328" s="4"/>
    </row>
    <row r="329" spans="1:206" x14ac:dyDescent="0.2">
      <c r="A329" s="4">
        <v>50</v>
      </c>
      <c r="B329" s="4">
        <v>0</v>
      </c>
      <c r="C329" s="4">
        <v>0</v>
      </c>
      <c r="D329" s="4">
        <v>1</v>
      </c>
      <c r="E329" s="4">
        <v>210</v>
      </c>
      <c r="F329" s="4">
        <f>ROUND(Source!X303,O329)</f>
        <v>5012.4799999999996</v>
      </c>
      <c r="G329" s="4" t="s">
        <v>98</v>
      </c>
      <c r="H329" s="4" t="s">
        <v>99</v>
      </c>
      <c r="I329" s="4"/>
      <c r="J329" s="4"/>
      <c r="K329" s="4">
        <v>210</v>
      </c>
      <c r="L329" s="4">
        <v>25</v>
      </c>
      <c r="M329" s="4">
        <v>3</v>
      </c>
      <c r="N329" s="4" t="s">
        <v>3</v>
      </c>
      <c r="O329" s="4">
        <v>2</v>
      </c>
      <c r="P329" s="4"/>
      <c r="Q329" s="4"/>
      <c r="R329" s="4"/>
      <c r="S329" s="4"/>
      <c r="T329" s="4"/>
      <c r="U329" s="4"/>
      <c r="V329" s="4"/>
      <c r="W329" s="4"/>
    </row>
    <row r="330" spans="1:206" x14ac:dyDescent="0.2">
      <c r="A330" s="4">
        <v>50</v>
      </c>
      <c r="B330" s="4">
        <v>0</v>
      </c>
      <c r="C330" s="4">
        <v>0</v>
      </c>
      <c r="D330" s="4">
        <v>1</v>
      </c>
      <c r="E330" s="4">
        <v>211</v>
      </c>
      <c r="F330" s="4">
        <f>ROUND(Source!Y303,O330)</f>
        <v>716.07</v>
      </c>
      <c r="G330" s="4" t="s">
        <v>100</v>
      </c>
      <c r="H330" s="4" t="s">
        <v>101</v>
      </c>
      <c r="I330" s="4"/>
      <c r="J330" s="4"/>
      <c r="K330" s="4">
        <v>211</v>
      </c>
      <c r="L330" s="4">
        <v>26</v>
      </c>
      <c r="M330" s="4">
        <v>3</v>
      </c>
      <c r="N330" s="4" t="s">
        <v>3</v>
      </c>
      <c r="O330" s="4">
        <v>2</v>
      </c>
      <c r="P330" s="4"/>
      <c r="Q330" s="4"/>
      <c r="R330" s="4"/>
      <c r="S330" s="4"/>
      <c r="T330" s="4"/>
      <c r="U330" s="4"/>
      <c r="V330" s="4"/>
      <c r="W330" s="4"/>
    </row>
    <row r="331" spans="1:206" x14ac:dyDescent="0.2">
      <c r="A331" s="4">
        <v>50</v>
      </c>
      <c r="B331" s="4">
        <v>0</v>
      </c>
      <c r="C331" s="4">
        <v>0</v>
      </c>
      <c r="D331" s="4">
        <v>1</v>
      </c>
      <c r="E331" s="4">
        <v>224</v>
      </c>
      <c r="F331" s="4">
        <f>ROUND(Source!AR303,O331)</f>
        <v>17105.29</v>
      </c>
      <c r="G331" s="4" t="s">
        <v>102</v>
      </c>
      <c r="H331" s="4" t="s">
        <v>103</v>
      </c>
      <c r="I331" s="4"/>
      <c r="J331" s="4"/>
      <c r="K331" s="4">
        <v>224</v>
      </c>
      <c r="L331" s="4">
        <v>27</v>
      </c>
      <c r="M331" s="4">
        <v>3</v>
      </c>
      <c r="N331" s="4" t="s">
        <v>3</v>
      </c>
      <c r="O331" s="4">
        <v>2</v>
      </c>
      <c r="P331" s="4"/>
      <c r="Q331" s="4"/>
      <c r="R331" s="4"/>
      <c r="S331" s="4"/>
      <c r="T331" s="4"/>
      <c r="U331" s="4"/>
      <c r="V331" s="4"/>
      <c r="W331" s="4"/>
    </row>
    <row r="333" spans="1:206" x14ac:dyDescent="0.2">
      <c r="A333" s="1">
        <v>5</v>
      </c>
      <c r="B333" s="1">
        <v>1</v>
      </c>
      <c r="C333" s="1"/>
      <c r="D333" s="1">
        <f>ROW(A342)</f>
        <v>342</v>
      </c>
      <c r="E333" s="1"/>
      <c r="F333" s="1" t="s">
        <v>14</v>
      </c>
      <c r="G333" s="1" t="s">
        <v>104</v>
      </c>
      <c r="H333" s="1" t="s">
        <v>3</v>
      </c>
      <c r="I333" s="1">
        <v>0</v>
      </c>
      <c r="J333" s="1"/>
      <c r="K333" s="1">
        <v>0</v>
      </c>
      <c r="L333" s="1"/>
      <c r="M333" s="1"/>
      <c r="N333" s="1"/>
      <c r="O333" s="1"/>
      <c r="P333" s="1"/>
      <c r="Q333" s="1"/>
      <c r="R333" s="1"/>
      <c r="S333" s="1"/>
      <c r="T333" s="1"/>
      <c r="U333" s="1" t="s">
        <v>3</v>
      </c>
      <c r="V333" s="1">
        <v>0</v>
      </c>
      <c r="W333" s="1"/>
      <c r="X333" s="1"/>
      <c r="Y333" s="1"/>
      <c r="Z333" s="1"/>
      <c r="AA333" s="1"/>
      <c r="AB333" s="1" t="s">
        <v>3</v>
      </c>
      <c r="AC333" s="1" t="s">
        <v>3</v>
      </c>
      <c r="AD333" s="1" t="s">
        <v>3</v>
      </c>
      <c r="AE333" s="1" t="s">
        <v>3</v>
      </c>
      <c r="AF333" s="1" t="s">
        <v>3</v>
      </c>
      <c r="AG333" s="1" t="s">
        <v>3</v>
      </c>
      <c r="AH333" s="1"/>
      <c r="AI333" s="1"/>
      <c r="AJ333" s="1"/>
      <c r="AK333" s="1"/>
      <c r="AL333" s="1"/>
      <c r="AM333" s="1"/>
      <c r="AN333" s="1"/>
      <c r="AO333" s="1"/>
      <c r="AP333" s="1" t="s">
        <v>3</v>
      </c>
      <c r="AQ333" s="1" t="s">
        <v>3</v>
      </c>
      <c r="AR333" s="1" t="s">
        <v>3</v>
      </c>
      <c r="AS333" s="1"/>
      <c r="AT333" s="1"/>
      <c r="AU333" s="1"/>
      <c r="AV333" s="1"/>
      <c r="AW333" s="1"/>
      <c r="AX333" s="1"/>
      <c r="AY333" s="1"/>
      <c r="AZ333" s="1" t="s">
        <v>3</v>
      </c>
      <c r="BA333" s="1"/>
      <c r="BB333" s="1" t="s">
        <v>3</v>
      </c>
      <c r="BC333" s="1" t="s">
        <v>3</v>
      </c>
      <c r="BD333" s="1" t="s">
        <v>3</v>
      </c>
      <c r="BE333" s="1" t="s">
        <v>3</v>
      </c>
      <c r="BF333" s="1" t="s">
        <v>3</v>
      </c>
      <c r="BG333" s="1" t="s">
        <v>3</v>
      </c>
      <c r="BH333" s="1" t="s">
        <v>3</v>
      </c>
      <c r="BI333" s="1" t="s">
        <v>3</v>
      </c>
      <c r="BJ333" s="1" t="s">
        <v>3</v>
      </c>
      <c r="BK333" s="1" t="s">
        <v>3</v>
      </c>
      <c r="BL333" s="1" t="s">
        <v>3</v>
      </c>
      <c r="BM333" s="1" t="s">
        <v>3</v>
      </c>
      <c r="BN333" s="1" t="s">
        <v>3</v>
      </c>
      <c r="BO333" s="1" t="s">
        <v>3</v>
      </c>
      <c r="BP333" s="1" t="s">
        <v>3</v>
      </c>
      <c r="BQ333" s="1"/>
      <c r="BR333" s="1"/>
      <c r="BS333" s="1"/>
      <c r="BT333" s="1"/>
      <c r="BU333" s="1"/>
      <c r="BV333" s="1"/>
      <c r="BW333" s="1"/>
      <c r="BX333" s="1">
        <v>0</v>
      </c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>
        <v>0</v>
      </c>
    </row>
    <row r="335" spans="1:206" x14ac:dyDescent="0.2">
      <c r="A335" s="2">
        <v>52</v>
      </c>
      <c r="B335" s="2">
        <f t="shared" ref="B335:G335" si="172">B342</f>
        <v>1</v>
      </c>
      <c r="C335" s="2">
        <f t="shared" si="172"/>
        <v>5</v>
      </c>
      <c r="D335" s="2">
        <f t="shared" si="172"/>
        <v>333</v>
      </c>
      <c r="E335" s="2">
        <f t="shared" si="172"/>
        <v>0</v>
      </c>
      <c r="F335" s="2" t="str">
        <f t="shared" si="172"/>
        <v>Новый подраздел</v>
      </c>
      <c r="G335" s="2" t="str">
        <f t="shared" si="172"/>
        <v>Строительные работы</v>
      </c>
      <c r="H335" s="2"/>
      <c r="I335" s="2"/>
      <c r="J335" s="2"/>
      <c r="K335" s="2"/>
      <c r="L335" s="2"/>
      <c r="M335" s="2"/>
      <c r="N335" s="2"/>
      <c r="O335" s="2">
        <f t="shared" ref="O335:AT335" si="173">O342</f>
        <v>54218.61</v>
      </c>
      <c r="P335" s="2">
        <f t="shared" si="173"/>
        <v>44522.31</v>
      </c>
      <c r="Q335" s="2">
        <f t="shared" si="173"/>
        <v>405.2</v>
      </c>
      <c r="R335" s="2">
        <f t="shared" si="173"/>
        <v>111.7</v>
      </c>
      <c r="S335" s="2">
        <f t="shared" si="173"/>
        <v>9291.1</v>
      </c>
      <c r="T335" s="2">
        <f t="shared" si="173"/>
        <v>0</v>
      </c>
      <c r="U335" s="2">
        <f t="shared" si="173"/>
        <v>36.46</v>
      </c>
      <c r="V335" s="2">
        <f t="shared" si="173"/>
        <v>0</v>
      </c>
      <c r="W335" s="2">
        <f t="shared" si="173"/>
        <v>0</v>
      </c>
      <c r="X335" s="2">
        <f t="shared" si="173"/>
        <v>6503.77</v>
      </c>
      <c r="Y335" s="2">
        <f t="shared" si="173"/>
        <v>929.12</v>
      </c>
      <c r="Z335" s="2">
        <f t="shared" si="173"/>
        <v>0</v>
      </c>
      <c r="AA335" s="2">
        <f t="shared" si="173"/>
        <v>0</v>
      </c>
      <c r="AB335" s="2">
        <f t="shared" si="173"/>
        <v>54218.61</v>
      </c>
      <c r="AC335" s="2">
        <f t="shared" si="173"/>
        <v>44522.31</v>
      </c>
      <c r="AD335" s="2">
        <f t="shared" si="173"/>
        <v>405.2</v>
      </c>
      <c r="AE335" s="2">
        <f t="shared" si="173"/>
        <v>111.7</v>
      </c>
      <c r="AF335" s="2">
        <f t="shared" si="173"/>
        <v>9291.1</v>
      </c>
      <c r="AG335" s="2">
        <f t="shared" si="173"/>
        <v>0</v>
      </c>
      <c r="AH335" s="2">
        <f t="shared" si="173"/>
        <v>36.46</v>
      </c>
      <c r="AI335" s="2">
        <f t="shared" si="173"/>
        <v>0</v>
      </c>
      <c r="AJ335" s="2">
        <f t="shared" si="173"/>
        <v>0</v>
      </c>
      <c r="AK335" s="2">
        <f t="shared" si="173"/>
        <v>6503.77</v>
      </c>
      <c r="AL335" s="2">
        <f t="shared" si="173"/>
        <v>929.12</v>
      </c>
      <c r="AM335" s="2">
        <f t="shared" si="173"/>
        <v>0</v>
      </c>
      <c r="AN335" s="2">
        <f t="shared" si="173"/>
        <v>0</v>
      </c>
      <c r="AO335" s="2">
        <f t="shared" si="173"/>
        <v>0</v>
      </c>
      <c r="AP335" s="2">
        <f t="shared" si="173"/>
        <v>0</v>
      </c>
      <c r="AQ335" s="2">
        <f t="shared" si="173"/>
        <v>0</v>
      </c>
      <c r="AR335" s="2">
        <f t="shared" si="173"/>
        <v>61772.13</v>
      </c>
      <c r="AS335" s="2">
        <f t="shared" si="173"/>
        <v>0</v>
      </c>
      <c r="AT335" s="2">
        <f t="shared" si="173"/>
        <v>0</v>
      </c>
      <c r="AU335" s="2">
        <f t="shared" ref="AU335:BZ335" si="174">AU342</f>
        <v>61772.13</v>
      </c>
      <c r="AV335" s="2">
        <f t="shared" si="174"/>
        <v>44522.31</v>
      </c>
      <c r="AW335" s="2">
        <f t="shared" si="174"/>
        <v>44522.31</v>
      </c>
      <c r="AX335" s="2">
        <f t="shared" si="174"/>
        <v>0</v>
      </c>
      <c r="AY335" s="2">
        <f t="shared" si="174"/>
        <v>44522.31</v>
      </c>
      <c r="AZ335" s="2">
        <f t="shared" si="174"/>
        <v>0</v>
      </c>
      <c r="BA335" s="2">
        <f t="shared" si="174"/>
        <v>0</v>
      </c>
      <c r="BB335" s="2">
        <f t="shared" si="174"/>
        <v>0</v>
      </c>
      <c r="BC335" s="2">
        <f t="shared" si="174"/>
        <v>0</v>
      </c>
      <c r="BD335" s="2">
        <f t="shared" si="174"/>
        <v>0</v>
      </c>
      <c r="BE335" s="2">
        <f t="shared" si="174"/>
        <v>0</v>
      </c>
      <c r="BF335" s="2">
        <f t="shared" si="174"/>
        <v>0</v>
      </c>
      <c r="BG335" s="2">
        <f t="shared" si="174"/>
        <v>0</v>
      </c>
      <c r="BH335" s="2">
        <f t="shared" si="174"/>
        <v>0</v>
      </c>
      <c r="BI335" s="2">
        <f t="shared" si="174"/>
        <v>0</v>
      </c>
      <c r="BJ335" s="2">
        <f t="shared" si="174"/>
        <v>0</v>
      </c>
      <c r="BK335" s="2">
        <f t="shared" si="174"/>
        <v>0</v>
      </c>
      <c r="BL335" s="2">
        <f t="shared" si="174"/>
        <v>0</v>
      </c>
      <c r="BM335" s="2">
        <f t="shared" si="174"/>
        <v>0</v>
      </c>
      <c r="BN335" s="2">
        <f t="shared" si="174"/>
        <v>0</v>
      </c>
      <c r="BO335" s="2">
        <f t="shared" si="174"/>
        <v>0</v>
      </c>
      <c r="BP335" s="2">
        <f t="shared" si="174"/>
        <v>0</v>
      </c>
      <c r="BQ335" s="2">
        <f t="shared" si="174"/>
        <v>0</v>
      </c>
      <c r="BR335" s="2">
        <f t="shared" si="174"/>
        <v>0</v>
      </c>
      <c r="BS335" s="2">
        <f t="shared" si="174"/>
        <v>0</v>
      </c>
      <c r="BT335" s="2">
        <f t="shared" si="174"/>
        <v>0</v>
      </c>
      <c r="BU335" s="2">
        <f t="shared" si="174"/>
        <v>0</v>
      </c>
      <c r="BV335" s="2">
        <f t="shared" si="174"/>
        <v>0</v>
      </c>
      <c r="BW335" s="2">
        <f t="shared" si="174"/>
        <v>0</v>
      </c>
      <c r="BX335" s="2">
        <f t="shared" si="174"/>
        <v>0</v>
      </c>
      <c r="BY335" s="2">
        <f t="shared" si="174"/>
        <v>0</v>
      </c>
      <c r="BZ335" s="2">
        <f t="shared" si="174"/>
        <v>0</v>
      </c>
      <c r="CA335" s="2">
        <f t="shared" ref="CA335:DF335" si="175">CA342</f>
        <v>61772.13</v>
      </c>
      <c r="CB335" s="2">
        <f t="shared" si="175"/>
        <v>0</v>
      </c>
      <c r="CC335" s="2">
        <f t="shared" si="175"/>
        <v>0</v>
      </c>
      <c r="CD335" s="2">
        <f t="shared" si="175"/>
        <v>61772.13</v>
      </c>
      <c r="CE335" s="2">
        <f t="shared" si="175"/>
        <v>44522.31</v>
      </c>
      <c r="CF335" s="2">
        <f t="shared" si="175"/>
        <v>44522.31</v>
      </c>
      <c r="CG335" s="2">
        <f t="shared" si="175"/>
        <v>0</v>
      </c>
      <c r="CH335" s="2">
        <f t="shared" si="175"/>
        <v>44522.31</v>
      </c>
      <c r="CI335" s="2">
        <f t="shared" si="175"/>
        <v>0</v>
      </c>
      <c r="CJ335" s="2">
        <f t="shared" si="175"/>
        <v>0</v>
      </c>
      <c r="CK335" s="2">
        <f t="shared" si="175"/>
        <v>0</v>
      </c>
      <c r="CL335" s="2">
        <f t="shared" si="175"/>
        <v>0</v>
      </c>
      <c r="CM335" s="2">
        <f t="shared" si="175"/>
        <v>0</v>
      </c>
      <c r="CN335" s="2">
        <f t="shared" si="175"/>
        <v>0</v>
      </c>
      <c r="CO335" s="2">
        <f t="shared" si="175"/>
        <v>0</v>
      </c>
      <c r="CP335" s="2">
        <f t="shared" si="175"/>
        <v>0</v>
      </c>
      <c r="CQ335" s="2">
        <f t="shared" si="175"/>
        <v>0</v>
      </c>
      <c r="CR335" s="2">
        <f t="shared" si="175"/>
        <v>0</v>
      </c>
      <c r="CS335" s="2">
        <f t="shared" si="175"/>
        <v>0</v>
      </c>
      <c r="CT335" s="2">
        <f t="shared" si="175"/>
        <v>0</v>
      </c>
      <c r="CU335" s="2">
        <f t="shared" si="175"/>
        <v>0</v>
      </c>
      <c r="CV335" s="2">
        <f t="shared" si="175"/>
        <v>0</v>
      </c>
      <c r="CW335" s="2">
        <f t="shared" si="175"/>
        <v>0</v>
      </c>
      <c r="CX335" s="2">
        <f t="shared" si="175"/>
        <v>0</v>
      </c>
      <c r="CY335" s="2">
        <f t="shared" si="175"/>
        <v>0</v>
      </c>
      <c r="CZ335" s="2">
        <f t="shared" si="175"/>
        <v>0</v>
      </c>
      <c r="DA335" s="2">
        <f t="shared" si="175"/>
        <v>0</v>
      </c>
      <c r="DB335" s="2">
        <f t="shared" si="175"/>
        <v>0</v>
      </c>
      <c r="DC335" s="2">
        <f t="shared" si="175"/>
        <v>0</v>
      </c>
      <c r="DD335" s="2">
        <f t="shared" si="175"/>
        <v>0</v>
      </c>
      <c r="DE335" s="2">
        <f t="shared" si="175"/>
        <v>0</v>
      </c>
      <c r="DF335" s="2">
        <f t="shared" si="175"/>
        <v>0</v>
      </c>
      <c r="DG335" s="3">
        <f t="shared" ref="DG335:EL335" si="176">DG342</f>
        <v>0</v>
      </c>
      <c r="DH335" s="3">
        <f t="shared" si="176"/>
        <v>0</v>
      </c>
      <c r="DI335" s="3">
        <f t="shared" si="176"/>
        <v>0</v>
      </c>
      <c r="DJ335" s="3">
        <f t="shared" si="176"/>
        <v>0</v>
      </c>
      <c r="DK335" s="3">
        <f t="shared" si="176"/>
        <v>0</v>
      </c>
      <c r="DL335" s="3">
        <f t="shared" si="176"/>
        <v>0</v>
      </c>
      <c r="DM335" s="3">
        <f t="shared" si="176"/>
        <v>0</v>
      </c>
      <c r="DN335" s="3">
        <f t="shared" si="176"/>
        <v>0</v>
      </c>
      <c r="DO335" s="3">
        <f t="shared" si="176"/>
        <v>0</v>
      </c>
      <c r="DP335" s="3">
        <f t="shared" si="176"/>
        <v>0</v>
      </c>
      <c r="DQ335" s="3">
        <f t="shared" si="176"/>
        <v>0</v>
      </c>
      <c r="DR335" s="3">
        <f t="shared" si="176"/>
        <v>0</v>
      </c>
      <c r="DS335" s="3">
        <f t="shared" si="176"/>
        <v>0</v>
      </c>
      <c r="DT335" s="3">
        <f t="shared" si="176"/>
        <v>0</v>
      </c>
      <c r="DU335" s="3">
        <f t="shared" si="176"/>
        <v>0</v>
      </c>
      <c r="DV335" s="3">
        <f t="shared" si="176"/>
        <v>0</v>
      </c>
      <c r="DW335" s="3">
        <f t="shared" si="176"/>
        <v>0</v>
      </c>
      <c r="DX335" s="3">
        <f t="shared" si="176"/>
        <v>0</v>
      </c>
      <c r="DY335" s="3">
        <f t="shared" si="176"/>
        <v>0</v>
      </c>
      <c r="DZ335" s="3">
        <f t="shared" si="176"/>
        <v>0</v>
      </c>
      <c r="EA335" s="3">
        <f t="shared" si="176"/>
        <v>0</v>
      </c>
      <c r="EB335" s="3">
        <f t="shared" si="176"/>
        <v>0</v>
      </c>
      <c r="EC335" s="3">
        <f t="shared" si="176"/>
        <v>0</v>
      </c>
      <c r="ED335" s="3">
        <f t="shared" si="176"/>
        <v>0</v>
      </c>
      <c r="EE335" s="3">
        <f t="shared" si="176"/>
        <v>0</v>
      </c>
      <c r="EF335" s="3">
        <f t="shared" si="176"/>
        <v>0</v>
      </c>
      <c r="EG335" s="3">
        <f t="shared" si="176"/>
        <v>0</v>
      </c>
      <c r="EH335" s="3">
        <f t="shared" si="176"/>
        <v>0</v>
      </c>
      <c r="EI335" s="3">
        <f t="shared" si="176"/>
        <v>0</v>
      </c>
      <c r="EJ335" s="3">
        <f t="shared" si="176"/>
        <v>0</v>
      </c>
      <c r="EK335" s="3">
        <f t="shared" si="176"/>
        <v>0</v>
      </c>
      <c r="EL335" s="3">
        <f t="shared" si="176"/>
        <v>0</v>
      </c>
      <c r="EM335" s="3">
        <f t="shared" ref="EM335:FR335" si="177">EM342</f>
        <v>0</v>
      </c>
      <c r="EN335" s="3">
        <f t="shared" si="177"/>
        <v>0</v>
      </c>
      <c r="EO335" s="3">
        <f t="shared" si="177"/>
        <v>0</v>
      </c>
      <c r="EP335" s="3">
        <f t="shared" si="177"/>
        <v>0</v>
      </c>
      <c r="EQ335" s="3">
        <f t="shared" si="177"/>
        <v>0</v>
      </c>
      <c r="ER335" s="3">
        <f t="shared" si="177"/>
        <v>0</v>
      </c>
      <c r="ES335" s="3">
        <f t="shared" si="177"/>
        <v>0</v>
      </c>
      <c r="ET335" s="3">
        <f t="shared" si="177"/>
        <v>0</v>
      </c>
      <c r="EU335" s="3">
        <f t="shared" si="177"/>
        <v>0</v>
      </c>
      <c r="EV335" s="3">
        <f t="shared" si="177"/>
        <v>0</v>
      </c>
      <c r="EW335" s="3">
        <f t="shared" si="177"/>
        <v>0</v>
      </c>
      <c r="EX335" s="3">
        <f t="shared" si="177"/>
        <v>0</v>
      </c>
      <c r="EY335" s="3">
        <f t="shared" si="177"/>
        <v>0</v>
      </c>
      <c r="EZ335" s="3">
        <f t="shared" si="177"/>
        <v>0</v>
      </c>
      <c r="FA335" s="3">
        <f t="shared" si="177"/>
        <v>0</v>
      </c>
      <c r="FB335" s="3">
        <f t="shared" si="177"/>
        <v>0</v>
      </c>
      <c r="FC335" s="3">
        <f t="shared" si="177"/>
        <v>0</v>
      </c>
      <c r="FD335" s="3">
        <f t="shared" si="177"/>
        <v>0</v>
      </c>
      <c r="FE335" s="3">
        <f t="shared" si="177"/>
        <v>0</v>
      </c>
      <c r="FF335" s="3">
        <f t="shared" si="177"/>
        <v>0</v>
      </c>
      <c r="FG335" s="3">
        <f t="shared" si="177"/>
        <v>0</v>
      </c>
      <c r="FH335" s="3">
        <f t="shared" si="177"/>
        <v>0</v>
      </c>
      <c r="FI335" s="3">
        <f t="shared" si="177"/>
        <v>0</v>
      </c>
      <c r="FJ335" s="3">
        <f t="shared" si="177"/>
        <v>0</v>
      </c>
      <c r="FK335" s="3">
        <f t="shared" si="177"/>
        <v>0</v>
      </c>
      <c r="FL335" s="3">
        <f t="shared" si="177"/>
        <v>0</v>
      </c>
      <c r="FM335" s="3">
        <f t="shared" si="177"/>
        <v>0</v>
      </c>
      <c r="FN335" s="3">
        <f t="shared" si="177"/>
        <v>0</v>
      </c>
      <c r="FO335" s="3">
        <f t="shared" si="177"/>
        <v>0</v>
      </c>
      <c r="FP335" s="3">
        <f t="shared" si="177"/>
        <v>0</v>
      </c>
      <c r="FQ335" s="3">
        <f t="shared" si="177"/>
        <v>0</v>
      </c>
      <c r="FR335" s="3">
        <f t="shared" si="177"/>
        <v>0</v>
      </c>
      <c r="FS335" s="3">
        <f t="shared" ref="FS335:GX335" si="178">FS342</f>
        <v>0</v>
      </c>
      <c r="FT335" s="3">
        <f t="shared" si="178"/>
        <v>0</v>
      </c>
      <c r="FU335" s="3">
        <f t="shared" si="178"/>
        <v>0</v>
      </c>
      <c r="FV335" s="3">
        <f t="shared" si="178"/>
        <v>0</v>
      </c>
      <c r="FW335" s="3">
        <f t="shared" si="178"/>
        <v>0</v>
      </c>
      <c r="FX335" s="3">
        <f t="shared" si="178"/>
        <v>0</v>
      </c>
      <c r="FY335" s="3">
        <f t="shared" si="178"/>
        <v>0</v>
      </c>
      <c r="FZ335" s="3">
        <f t="shared" si="178"/>
        <v>0</v>
      </c>
      <c r="GA335" s="3">
        <f t="shared" si="178"/>
        <v>0</v>
      </c>
      <c r="GB335" s="3">
        <f t="shared" si="178"/>
        <v>0</v>
      </c>
      <c r="GC335" s="3">
        <f t="shared" si="178"/>
        <v>0</v>
      </c>
      <c r="GD335" s="3">
        <f t="shared" si="178"/>
        <v>0</v>
      </c>
      <c r="GE335" s="3">
        <f t="shared" si="178"/>
        <v>0</v>
      </c>
      <c r="GF335" s="3">
        <f t="shared" si="178"/>
        <v>0</v>
      </c>
      <c r="GG335" s="3">
        <f t="shared" si="178"/>
        <v>0</v>
      </c>
      <c r="GH335" s="3">
        <f t="shared" si="178"/>
        <v>0</v>
      </c>
      <c r="GI335" s="3">
        <f t="shared" si="178"/>
        <v>0</v>
      </c>
      <c r="GJ335" s="3">
        <f t="shared" si="178"/>
        <v>0</v>
      </c>
      <c r="GK335" s="3">
        <f t="shared" si="178"/>
        <v>0</v>
      </c>
      <c r="GL335" s="3">
        <f t="shared" si="178"/>
        <v>0</v>
      </c>
      <c r="GM335" s="3">
        <f t="shared" si="178"/>
        <v>0</v>
      </c>
      <c r="GN335" s="3">
        <f t="shared" si="178"/>
        <v>0</v>
      </c>
      <c r="GO335" s="3">
        <f t="shared" si="178"/>
        <v>0</v>
      </c>
      <c r="GP335" s="3">
        <f t="shared" si="178"/>
        <v>0</v>
      </c>
      <c r="GQ335" s="3">
        <f t="shared" si="178"/>
        <v>0</v>
      </c>
      <c r="GR335" s="3">
        <f t="shared" si="178"/>
        <v>0</v>
      </c>
      <c r="GS335" s="3">
        <f t="shared" si="178"/>
        <v>0</v>
      </c>
      <c r="GT335" s="3">
        <f t="shared" si="178"/>
        <v>0</v>
      </c>
      <c r="GU335" s="3">
        <f t="shared" si="178"/>
        <v>0</v>
      </c>
      <c r="GV335" s="3">
        <f t="shared" si="178"/>
        <v>0</v>
      </c>
      <c r="GW335" s="3">
        <f t="shared" si="178"/>
        <v>0</v>
      </c>
      <c r="GX335" s="3">
        <f t="shared" si="178"/>
        <v>0</v>
      </c>
    </row>
    <row r="337" spans="1:245" x14ac:dyDescent="0.2">
      <c r="A337">
        <v>17</v>
      </c>
      <c r="B337">
        <v>1</v>
      </c>
      <c r="C337">
        <f>ROW(SmtRes!A208)</f>
        <v>208</v>
      </c>
      <c r="D337">
        <f>ROW(EtalonRes!A184)</f>
        <v>184</v>
      </c>
      <c r="E337" t="s">
        <v>269</v>
      </c>
      <c r="F337" t="s">
        <v>132</v>
      </c>
      <c r="G337" t="s">
        <v>133</v>
      </c>
      <c r="H337" t="s">
        <v>19</v>
      </c>
      <c r="I337">
        <f>ROUND(8/100,9)</f>
        <v>0.08</v>
      </c>
      <c r="J337">
        <v>0</v>
      </c>
      <c r="O337">
        <f>ROUND(CP337,2)</f>
        <v>1814.31</v>
      </c>
      <c r="P337">
        <f>ROUND(CQ337*I337,2)</f>
        <v>1392.88</v>
      </c>
      <c r="Q337">
        <f>ROUND(CR337*I337,2)</f>
        <v>161.18</v>
      </c>
      <c r="R337">
        <f>ROUND(CS337*I337,2)</f>
        <v>96.64</v>
      </c>
      <c r="S337">
        <f>ROUND(CT337*I337,2)</f>
        <v>260.25</v>
      </c>
      <c r="T337">
        <f>ROUND(CU337*I337,2)</f>
        <v>0</v>
      </c>
      <c r="U337">
        <f>CV337*I337</f>
        <v>1.3152000000000001</v>
      </c>
      <c r="V337">
        <f>CW337*I337</f>
        <v>0</v>
      </c>
      <c r="W337">
        <f>ROUND(CX337*I337,2)</f>
        <v>0</v>
      </c>
      <c r="X337">
        <f t="shared" ref="X337:Y340" si="179">ROUND(CY337,2)</f>
        <v>182.18</v>
      </c>
      <c r="Y337">
        <f t="shared" si="179"/>
        <v>26.03</v>
      </c>
      <c r="AA337">
        <v>38799519</v>
      </c>
      <c r="AB337">
        <f>ROUND((AC337+AD337+AF337),6)</f>
        <v>22678.99</v>
      </c>
      <c r="AC337">
        <f>ROUND((ES337),6)</f>
        <v>17411.05</v>
      </c>
      <c r="AD337">
        <f>ROUND((((ET337)-(EU337))+AE337),6)</f>
        <v>2014.79</v>
      </c>
      <c r="AE337">
        <f t="shared" ref="AE337:AF340" si="180">ROUND((EU337),6)</f>
        <v>1208.03</v>
      </c>
      <c r="AF337">
        <f t="shared" si="180"/>
        <v>3253.15</v>
      </c>
      <c r="AG337">
        <f>ROUND((AP337),6)</f>
        <v>0</v>
      </c>
      <c r="AH337">
        <f t="shared" ref="AH337:AI340" si="181">(EW337)</f>
        <v>16.440000000000001</v>
      </c>
      <c r="AI337">
        <f t="shared" si="181"/>
        <v>0</v>
      </c>
      <c r="AJ337">
        <f>(AS337)</f>
        <v>0</v>
      </c>
      <c r="AK337">
        <v>22678.99</v>
      </c>
      <c r="AL337">
        <v>17411.05</v>
      </c>
      <c r="AM337">
        <v>2014.79</v>
      </c>
      <c r="AN337">
        <v>1208.03</v>
      </c>
      <c r="AO337">
        <v>3253.15</v>
      </c>
      <c r="AP337">
        <v>0</v>
      </c>
      <c r="AQ337">
        <v>16.440000000000001</v>
      </c>
      <c r="AR337">
        <v>0</v>
      </c>
      <c r="AS337">
        <v>0</v>
      </c>
      <c r="AT337">
        <v>70</v>
      </c>
      <c r="AU337">
        <v>10</v>
      </c>
      <c r="AV337">
        <v>1</v>
      </c>
      <c r="AW337">
        <v>1</v>
      </c>
      <c r="AZ337">
        <v>1</v>
      </c>
      <c r="BA337">
        <v>1</v>
      </c>
      <c r="BB337">
        <v>1</v>
      </c>
      <c r="BC337">
        <v>1</v>
      </c>
      <c r="BD337" t="s">
        <v>3</v>
      </c>
      <c r="BE337" t="s">
        <v>3</v>
      </c>
      <c r="BF337" t="s">
        <v>3</v>
      </c>
      <c r="BG337" t="s">
        <v>3</v>
      </c>
      <c r="BH337">
        <v>0</v>
      </c>
      <c r="BI337">
        <v>4</v>
      </c>
      <c r="BJ337" t="s">
        <v>134</v>
      </c>
      <c r="BM337">
        <v>0</v>
      </c>
      <c r="BN337">
        <v>0</v>
      </c>
      <c r="BO337" t="s">
        <v>3</v>
      </c>
      <c r="BP337">
        <v>0</v>
      </c>
      <c r="BQ337">
        <v>1</v>
      </c>
      <c r="BR337">
        <v>0</v>
      </c>
      <c r="BS337">
        <v>1</v>
      </c>
      <c r="BT337">
        <v>1</v>
      </c>
      <c r="BU337">
        <v>1</v>
      </c>
      <c r="BV337">
        <v>1</v>
      </c>
      <c r="BW337">
        <v>1</v>
      </c>
      <c r="BX337">
        <v>1</v>
      </c>
      <c r="BY337" t="s">
        <v>3</v>
      </c>
      <c r="BZ337">
        <v>70</v>
      </c>
      <c r="CA337">
        <v>10</v>
      </c>
      <c r="CE337">
        <v>0</v>
      </c>
      <c r="CF337">
        <v>0</v>
      </c>
      <c r="CG337">
        <v>0</v>
      </c>
      <c r="CM337">
        <v>0</v>
      </c>
      <c r="CN337" t="s">
        <v>3</v>
      </c>
      <c r="CO337">
        <v>0</v>
      </c>
      <c r="CP337">
        <f>(P337+Q337+S337)</f>
        <v>1814.3100000000002</v>
      </c>
      <c r="CQ337">
        <f>(AC337*BC337*AW337)</f>
        <v>17411.05</v>
      </c>
      <c r="CR337">
        <f>((((ET337)*BB337-(EU337)*BS337)+AE337*BS337)*AV337)</f>
        <v>2014.79</v>
      </c>
      <c r="CS337">
        <f>(AE337*BS337*AV337)</f>
        <v>1208.03</v>
      </c>
      <c r="CT337">
        <f>(AF337*BA337*AV337)</f>
        <v>3253.15</v>
      </c>
      <c r="CU337">
        <f>AG337</f>
        <v>0</v>
      </c>
      <c r="CV337">
        <f>(AH337*AV337)</f>
        <v>16.440000000000001</v>
      </c>
      <c r="CW337">
        <f t="shared" ref="CW337:CX340" si="182">AI337</f>
        <v>0</v>
      </c>
      <c r="CX337">
        <f t="shared" si="182"/>
        <v>0</v>
      </c>
      <c r="CY337">
        <f>((S337*BZ337)/100)</f>
        <v>182.17500000000001</v>
      </c>
      <c r="CZ337">
        <f>((S337*CA337)/100)</f>
        <v>26.024999999999999</v>
      </c>
      <c r="DC337" t="s">
        <v>3</v>
      </c>
      <c r="DD337" t="s">
        <v>3</v>
      </c>
      <c r="DE337" t="s">
        <v>3</v>
      </c>
      <c r="DF337" t="s">
        <v>3</v>
      </c>
      <c r="DG337" t="s">
        <v>3</v>
      </c>
      <c r="DH337" t="s">
        <v>3</v>
      </c>
      <c r="DI337" t="s">
        <v>3</v>
      </c>
      <c r="DJ337" t="s">
        <v>3</v>
      </c>
      <c r="DK337" t="s">
        <v>3</v>
      </c>
      <c r="DL337" t="s">
        <v>3</v>
      </c>
      <c r="DM337" t="s">
        <v>3</v>
      </c>
      <c r="DN337">
        <v>0</v>
      </c>
      <c r="DO337">
        <v>0</v>
      </c>
      <c r="DP337">
        <v>1</v>
      </c>
      <c r="DQ337">
        <v>1</v>
      </c>
      <c r="DU337">
        <v>1005</v>
      </c>
      <c r="DV337" t="s">
        <v>19</v>
      </c>
      <c r="DW337" t="s">
        <v>19</v>
      </c>
      <c r="DX337">
        <v>100</v>
      </c>
      <c r="EE337">
        <v>38447819</v>
      </c>
      <c r="EF337">
        <v>1</v>
      </c>
      <c r="EG337" t="s">
        <v>23</v>
      </c>
      <c r="EH337">
        <v>0</v>
      </c>
      <c r="EI337" t="s">
        <v>3</v>
      </c>
      <c r="EJ337">
        <v>4</v>
      </c>
      <c r="EK337">
        <v>0</v>
      </c>
      <c r="EL337" t="s">
        <v>24</v>
      </c>
      <c r="EM337" t="s">
        <v>25</v>
      </c>
      <c r="EO337" t="s">
        <v>3</v>
      </c>
      <c r="EQ337">
        <v>0</v>
      </c>
      <c r="ER337">
        <v>22678.99</v>
      </c>
      <c r="ES337">
        <v>17411.05</v>
      </c>
      <c r="ET337">
        <v>2014.79</v>
      </c>
      <c r="EU337">
        <v>1208.03</v>
      </c>
      <c r="EV337">
        <v>3253.15</v>
      </c>
      <c r="EW337">
        <v>16.440000000000001</v>
      </c>
      <c r="EX337">
        <v>0</v>
      </c>
      <c r="EY337">
        <v>0</v>
      </c>
      <c r="FQ337">
        <v>0</v>
      </c>
      <c r="FR337">
        <f>ROUND(IF(AND(BH337=3,BI337=3),P337,0),2)</f>
        <v>0</v>
      </c>
      <c r="FS337">
        <v>0</v>
      </c>
      <c r="FX337">
        <v>70</v>
      </c>
      <c r="FY337">
        <v>10</v>
      </c>
      <c r="GA337" t="s">
        <v>3</v>
      </c>
      <c r="GD337">
        <v>0</v>
      </c>
      <c r="GF337">
        <v>-820978144</v>
      </c>
      <c r="GG337">
        <v>2</v>
      </c>
      <c r="GH337">
        <v>1</v>
      </c>
      <c r="GI337">
        <v>-2</v>
      </c>
      <c r="GJ337">
        <v>0</v>
      </c>
      <c r="GK337">
        <f>ROUND(R337*(R12)/100,2)</f>
        <v>104.37</v>
      </c>
      <c r="GL337">
        <f>ROUND(IF(AND(BH337=3,BI337=3,FS337&lt;&gt;0),P337,0),2)</f>
        <v>0</v>
      </c>
      <c r="GM337">
        <f>ROUND(O337+X337+Y337+GK337,2)+GX337</f>
        <v>2126.89</v>
      </c>
      <c r="GN337">
        <f>IF(OR(BI337=0,BI337=1),ROUND(O337+X337+Y337+GK337,2),0)</f>
        <v>0</v>
      </c>
      <c r="GO337">
        <f>IF(BI337=2,ROUND(O337+X337+Y337+GK337,2),0)</f>
        <v>0</v>
      </c>
      <c r="GP337">
        <f>IF(BI337=4,ROUND(O337+X337+Y337+GK337,2)+GX337,0)</f>
        <v>2126.89</v>
      </c>
      <c r="GR337">
        <v>0</v>
      </c>
      <c r="GS337">
        <v>3</v>
      </c>
      <c r="GT337">
        <v>0</v>
      </c>
      <c r="GU337" t="s">
        <v>3</v>
      </c>
      <c r="GV337">
        <f>ROUND((GT337),6)</f>
        <v>0</v>
      </c>
      <c r="GW337">
        <v>1</v>
      </c>
      <c r="GX337">
        <f>ROUND(HC337*I337,2)</f>
        <v>0</v>
      </c>
      <c r="HA337">
        <v>0</v>
      </c>
      <c r="HB337">
        <v>0</v>
      </c>
      <c r="HC337">
        <f>GV337*GW337</f>
        <v>0</v>
      </c>
      <c r="HE337" t="s">
        <v>3</v>
      </c>
      <c r="HF337" t="s">
        <v>3</v>
      </c>
      <c r="IK337">
        <v>0</v>
      </c>
    </row>
    <row r="338" spans="1:245" x14ac:dyDescent="0.2">
      <c r="A338">
        <v>17</v>
      </c>
      <c r="B338">
        <v>1</v>
      </c>
      <c r="C338">
        <f>ROW(SmtRes!A212)</f>
        <v>212</v>
      </c>
      <c r="D338">
        <f>ROW(EtalonRes!A188)</f>
        <v>188</v>
      </c>
      <c r="E338" t="s">
        <v>270</v>
      </c>
      <c r="F338" t="s">
        <v>136</v>
      </c>
      <c r="G338" t="s">
        <v>137</v>
      </c>
      <c r="H338" t="s">
        <v>19</v>
      </c>
      <c r="I338">
        <f>ROUND(8/100,9)</f>
        <v>0.08</v>
      </c>
      <c r="J338">
        <v>0</v>
      </c>
      <c r="O338">
        <f>ROUND(CP338,2)</f>
        <v>280.83999999999997</v>
      </c>
      <c r="P338">
        <f>ROUND(CQ338*I338,2)</f>
        <v>237.83</v>
      </c>
      <c r="Q338">
        <f>ROUND(CR338*I338,2)</f>
        <v>8.42</v>
      </c>
      <c r="R338">
        <f>ROUND(CS338*I338,2)</f>
        <v>4.8</v>
      </c>
      <c r="S338">
        <f>ROUND(CT338*I338,2)</f>
        <v>34.590000000000003</v>
      </c>
      <c r="T338">
        <f>ROUND(CU338*I338,2)</f>
        <v>0</v>
      </c>
      <c r="U338">
        <f>CV338*I338</f>
        <v>0.18480000000000002</v>
      </c>
      <c r="V338">
        <f>CW338*I338</f>
        <v>0</v>
      </c>
      <c r="W338">
        <f>ROUND(CX338*I338,2)</f>
        <v>0</v>
      </c>
      <c r="X338">
        <f t="shared" si="179"/>
        <v>24.21</v>
      </c>
      <c r="Y338">
        <f t="shared" si="179"/>
        <v>3.46</v>
      </c>
      <c r="AA338">
        <v>38799519</v>
      </c>
      <c r="AB338">
        <f>ROUND((AC338+AD338+AF338),6)</f>
        <v>3510.44</v>
      </c>
      <c r="AC338">
        <f>ROUND((ES338),6)</f>
        <v>2972.84</v>
      </c>
      <c r="AD338">
        <f>ROUND((((ET338)-(EU338))+AE338),6)</f>
        <v>105.24</v>
      </c>
      <c r="AE338">
        <f t="shared" si="180"/>
        <v>59.96</v>
      </c>
      <c r="AF338">
        <f t="shared" si="180"/>
        <v>432.36</v>
      </c>
      <c r="AG338">
        <f>ROUND((AP338),6)</f>
        <v>0</v>
      </c>
      <c r="AH338">
        <f t="shared" si="181"/>
        <v>2.31</v>
      </c>
      <c r="AI338">
        <f t="shared" si="181"/>
        <v>0</v>
      </c>
      <c r="AJ338">
        <f>(AS338)</f>
        <v>0</v>
      </c>
      <c r="AK338">
        <v>3510.44</v>
      </c>
      <c r="AL338">
        <v>2972.84</v>
      </c>
      <c r="AM338">
        <v>105.24</v>
      </c>
      <c r="AN338">
        <v>59.96</v>
      </c>
      <c r="AO338">
        <v>432.36</v>
      </c>
      <c r="AP338">
        <v>0</v>
      </c>
      <c r="AQ338">
        <v>2.31</v>
      </c>
      <c r="AR338">
        <v>0</v>
      </c>
      <c r="AS338">
        <v>0</v>
      </c>
      <c r="AT338">
        <v>70</v>
      </c>
      <c r="AU338">
        <v>10</v>
      </c>
      <c r="AV338">
        <v>1</v>
      </c>
      <c r="AW338">
        <v>1</v>
      </c>
      <c r="AZ338">
        <v>1</v>
      </c>
      <c r="BA338">
        <v>1</v>
      </c>
      <c r="BB338">
        <v>1</v>
      </c>
      <c r="BC338">
        <v>1</v>
      </c>
      <c r="BD338" t="s">
        <v>3</v>
      </c>
      <c r="BE338" t="s">
        <v>3</v>
      </c>
      <c r="BF338" t="s">
        <v>3</v>
      </c>
      <c r="BG338" t="s">
        <v>3</v>
      </c>
      <c r="BH338">
        <v>0</v>
      </c>
      <c r="BI338">
        <v>4</v>
      </c>
      <c r="BJ338" t="s">
        <v>138</v>
      </c>
      <c r="BM338">
        <v>0</v>
      </c>
      <c r="BN338">
        <v>0</v>
      </c>
      <c r="BO338" t="s">
        <v>3</v>
      </c>
      <c r="BP338">
        <v>0</v>
      </c>
      <c r="BQ338">
        <v>1</v>
      </c>
      <c r="BR338">
        <v>0</v>
      </c>
      <c r="BS338">
        <v>1</v>
      </c>
      <c r="BT338">
        <v>1</v>
      </c>
      <c r="BU338">
        <v>1</v>
      </c>
      <c r="BV338">
        <v>1</v>
      </c>
      <c r="BW338">
        <v>1</v>
      </c>
      <c r="BX338">
        <v>1</v>
      </c>
      <c r="BY338" t="s">
        <v>3</v>
      </c>
      <c r="BZ338">
        <v>70</v>
      </c>
      <c r="CA338">
        <v>10</v>
      </c>
      <c r="CE338">
        <v>0</v>
      </c>
      <c r="CF338">
        <v>0</v>
      </c>
      <c r="CG338">
        <v>0</v>
      </c>
      <c r="CM338">
        <v>0</v>
      </c>
      <c r="CN338" t="s">
        <v>3</v>
      </c>
      <c r="CO338">
        <v>0</v>
      </c>
      <c r="CP338">
        <f>(P338+Q338+S338)</f>
        <v>280.84000000000003</v>
      </c>
      <c r="CQ338">
        <f>(AC338*BC338*AW338)</f>
        <v>2972.84</v>
      </c>
      <c r="CR338">
        <f>((((ET338)*BB338-(EU338)*BS338)+AE338*BS338)*AV338)</f>
        <v>105.24</v>
      </c>
      <c r="CS338">
        <f>(AE338*BS338*AV338)</f>
        <v>59.96</v>
      </c>
      <c r="CT338">
        <f>(AF338*BA338*AV338)</f>
        <v>432.36</v>
      </c>
      <c r="CU338">
        <f>AG338</f>
        <v>0</v>
      </c>
      <c r="CV338">
        <f>(AH338*AV338)</f>
        <v>2.31</v>
      </c>
      <c r="CW338">
        <f t="shared" si="182"/>
        <v>0</v>
      </c>
      <c r="CX338">
        <f t="shared" si="182"/>
        <v>0</v>
      </c>
      <c r="CY338">
        <f>((S338*BZ338)/100)</f>
        <v>24.213000000000001</v>
      </c>
      <c r="CZ338">
        <f>((S338*CA338)/100)</f>
        <v>3.4590000000000005</v>
      </c>
      <c r="DC338" t="s">
        <v>3</v>
      </c>
      <c r="DD338" t="s">
        <v>3</v>
      </c>
      <c r="DE338" t="s">
        <v>3</v>
      </c>
      <c r="DF338" t="s">
        <v>3</v>
      </c>
      <c r="DG338" t="s">
        <v>3</v>
      </c>
      <c r="DH338" t="s">
        <v>3</v>
      </c>
      <c r="DI338" t="s">
        <v>3</v>
      </c>
      <c r="DJ338" t="s">
        <v>3</v>
      </c>
      <c r="DK338" t="s">
        <v>3</v>
      </c>
      <c r="DL338" t="s">
        <v>3</v>
      </c>
      <c r="DM338" t="s">
        <v>3</v>
      </c>
      <c r="DN338">
        <v>0</v>
      </c>
      <c r="DO338">
        <v>0</v>
      </c>
      <c r="DP338">
        <v>1</v>
      </c>
      <c r="DQ338">
        <v>1</v>
      </c>
      <c r="DU338">
        <v>1005</v>
      </c>
      <c r="DV338" t="s">
        <v>19</v>
      </c>
      <c r="DW338" t="s">
        <v>19</v>
      </c>
      <c r="DX338">
        <v>100</v>
      </c>
      <c r="EE338">
        <v>38447819</v>
      </c>
      <c r="EF338">
        <v>1</v>
      </c>
      <c r="EG338" t="s">
        <v>23</v>
      </c>
      <c r="EH338">
        <v>0</v>
      </c>
      <c r="EI338" t="s">
        <v>3</v>
      </c>
      <c r="EJ338">
        <v>4</v>
      </c>
      <c r="EK338">
        <v>0</v>
      </c>
      <c r="EL338" t="s">
        <v>24</v>
      </c>
      <c r="EM338" t="s">
        <v>25</v>
      </c>
      <c r="EO338" t="s">
        <v>3</v>
      </c>
      <c r="EQ338">
        <v>0</v>
      </c>
      <c r="ER338">
        <v>3510.44</v>
      </c>
      <c r="ES338">
        <v>2972.84</v>
      </c>
      <c r="ET338">
        <v>105.24</v>
      </c>
      <c r="EU338">
        <v>59.96</v>
      </c>
      <c r="EV338">
        <v>432.36</v>
      </c>
      <c r="EW338">
        <v>2.31</v>
      </c>
      <c r="EX338">
        <v>0</v>
      </c>
      <c r="EY338">
        <v>0</v>
      </c>
      <c r="FQ338">
        <v>0</v>
      </c>
      <c r="FR338">
        <f>ROUND(IF(AND(BH338=3,BI338=3),P338,0),2)</f>
        <v>0</v>
      </c>
      <c r="FS338">
        <v>0</v>
      </c>
      <c r="FX338">
        <v>70</v>
      </c>
      <c r="FY338">
        <v>10</v>
      </c>
      <c r="GA338" t="s">
        <v>3</v>
      </c>
      <c r="GD338">
        <v>0</v>
      </c>
      <c r="GF338">
        <v>-1891653427</v>
      </c>
      <c r="GG338">
        <v>2</v>
      </c>
      <c r="GH338">
        <v>1</v>
      </c>
      <c r="GI338">
        <v>-2</v>
      </c>
      <c r="GJ338">
        <v>0</v>
      </c>
      <c r="GK338">
        <f>ROUND(R338*(R12)/100,2)</f>
        <v>5.18</v>
      </c>
      <c r="GL338">
        <f>ROUND(IF(AND(BH338=3,BI338=3,FS338&lt;&gt;0),P338,0),2)</f>
        <v>0</v>
      </c>
      <c r="GM338">
        <f>ROUND(O338+X338+Y338+GK338,2)+GX338</f>
        <v>313.69</v>
      </c>
      <c r="GN338">
        <f>IF(OR(BI338=0,BI338=1),ROUND(O338+X338+Y338+GK338,2),0)</f>
        <v>0</v>
      </c>
      <c r="GO338">
        <f>IF(BI338=2,ROUND(O338+X338+Y338+GK338,2),0)</f>
        <v>0</v>
      </c>
      <c r="GP338">
        <f>IF(BI338=4,ROUND(O338+X338+Y338+GK338,2)+GX338,0)</f>
        <v>313.69</v>
      </c>
      <c r="GR338">
        <v>0</v>
      </c>
      <c r="GS338">
        <v>3</v>
      </c>
      <c r="GT338">
        <v>0</v>
      </c>
      <c r="GU338" t="s">
        <v>3</v>
      </c>
      <c r="GV338">
        <f>ROUND((GT338),6)</f>
        <v>0</v>
      </c>
      <c r="GW338">
        <v>1</v>
      </c>
      <c r="GX338">
        <f>ROUND(HC338*I338,2)</f>
        <v>0</v>
      </c>
      <c r="HA338">
        <v>0</v>
      </c>
      <c r="HB338">
        <v>0</v>
      </c>
      <c r="HC338">
        <f>GV338*GW338</f>
        <v>0</v>
      </c>
      <c r="HE338" t="s">
        <v>3</v>
      </c>
      <c r="HF338" t="s">
        <v>3</v>
      </c>
      <c r="IK338">
        <v>0</v>
      </c>
    </row>
    <row r="339" spans="1:245" x14ac:dyDescent="0.2">
      <c r="A339">
        <v>17</v>
      </c>
      <c r="B339">
        <v>1</v>
      </c>
      <c r="C339">
        <f>ROW(SmtRes!A218)</f>
        <v>218</v>
      </c>
      <c r="D339">
        <f>ROW(EtalonRes!A193)</f>
        <v>193</v>
      </c>
      <c r="E339" t="s">
        <v>271</v>
      </c>
      <c r="F339" t="s">
        <v>170</v>
      </c>
      <c r="G339" t="s">
        <v>171</v>
      </c>
      <c r="H339" t="s">
        <v>155</v>
      </c>
      <c r="I339">
        <v>0.4</v>
      </c>
      <c r="J339">
        <v>0</v>
      </c>
      <c r="O339">
        <f>ROUND(CP339,2)</f>
        <v>39443.230000000003</v>
      </c>
      <c r="P339">
        <f>ROUND(CQ339*I339,2)</f>
        <v>30211.37</v>
      </c>
      <c r="Q339">
        <f>ROUND(CR339*I339,2)</f>
        <v>235.6</v>
      </c>
      <c r="R339">
        <f>ROUND(CS339*I339,2)</f>
        <v>10.26</v>
      </c>
      <c r="S339">
        <f>ROUND(CT339*I339,2)</f>
        <v>8996.26</v>
      </c>
      <c r="T339">
        <f>ROUND(CU339*I339,2)</f>
        <v>0</v>
      </c>
      <c r="U339">
        <f>CV339*I339</f>
        <v>34.96</v>
      </c>
      <c r="V339">
        <f>CW339*I339</f>
        <v>0</v>
      </c>
      <c r="W339">
        <f>ROUND(CX339*I339,2)</f>
        <v>0</v>
      </c>
      <c r="X339">
        <f t="shared" si="179"/>
        <v>6297.38</v>
      </c>
      <c r="Y339">
        <f t="shared" si="179"/>
        <v>899.63</v>
      </c>
      <c r="AA339">
        <v>38799519</v>
      </c>
      <c r="AB339">
        <f>ROUND((AC339+AD339+AF339),6)</f>
        <v>98608.07</v>
      </c>
      <c r="AC339">
        <f>ROUND((ES339),6)</f>
        <v>75528.429999999993</v>
      </c>
      <c r="AD339">
        <f>ROUND((((ET339)-(EU339))+AE339),6)</f>
        <v>589</v>
      </c>
      <c r="AE339">
        <f t="shared" si="180"/>
        <v>25.65</v>
      </c>
      <c r="AF339">
        <f t="shared" si="180"/>
        <v>22490.639999999999</v>
      </c>
      <c r="AG339">
        <f>ROUND((AP339),6)</f>
        <v>0</v>
      </c>
      <c r="AH339">
        <f t="shared" si="181"/>
        <v>87.4</v>
      </c>
      <c r="AI339">
        <f t="shared" si="181"/>
        <v>0</v>
      </c>
      <c r="AJ339">
        <f>(AS339)</f>
        <v>0</v>
      </c>
      <c r="AK339">
        <v>98608.07</v>
      </c>
      <c r="AL339">
        <v>75528.429999999993</v>
      </c>
      <c r="AM339">
        <v>589</v>
      </c>
      <c r="AN339">
        <v>25.65</v>
      </c>
      <c r="AO339">
        <v>22490.639999999999</v>
      </c>
      <c r="AP339">
        <v>0</v>
      </c>
      <c r="AQ339">
        <v>87.4</v>
      </c>
      <c r="AR339">
        <v>0</v>
      </c>
      <c r="AS339">
        <v>0</v>
      </c>
      <c r="AT339">
        <v>70</v>
      </c>
      <c r="AU339">
        <v>10</v>
      </c>
      <c r="AV339">
        <v>1</v>
      </c>
      <c r="AW339">
        <v>1</v>
      </c>
      <c r="AZ339">
        <v>1</v>
      </c>
      <c r="BA339">
        <v>1</v>
      </c>
      <c r="BB339">
        <v>1</v>
      </c>
      <c r="BC339">
        <v>1</v>
      </c>
      <c r="BD339" t="s">
        <v>3</v>
      </c>
      <c r="BE339" t="s">
        <v>3</v>
      </c>
      <c r="BF339" t="s">
        <v>3</v>
      </c>
      <c r="BG339" t="s">
        <v>3</v>
      </c>
      <c r="BH339">
        <v>0</v>
      </c>
      <c r="BI339">
        <v>4</v>
      </c>
      <c r="BJ339" t="s">
        <v>172</v>
      </c>
      <c r="BM339">
        <v>0</v>
      </c>
      <c r="BN339">
        <v>0</v>
      </c>
      <c r="BO339" t="s">
        <v>3</v>
      </c>
      <c r="BP339">
        <v>0</v>
      </c>
      <c r="BQ339">
        <v>1</v>
      </c>
      <c r="BR339">
        <v>0</v>
      </c>
      <c r="BS339">
        <v>1</v>
      </c>
      <c r="BT339">
        <v>1</v>
      </c>
      <c r="BU339">
        <v>1</v>
      </c>
      <c r="BV339">
        <v>1</v>
      </c>
      <c r="BW339">
        <v>1</v>
      </c>
      <c r="BX339">
        <v>1</v>
      </c>
      <c r="BY339" t="s">
        <v>3</v>
      </c>
      <c r="BZ339">
        <v>70</v>
      </c>
      <c r="CA339">
        <v>10</v>
      </c>
      <c r="CE339">
        <v>0</v>
      </c>
      <c r="CF339">
        <v>0</v>
      </c>
      <c r="CG339">
        <v>0</v>
      </c>
      <c r="CM339">
        <v>0</v>
      </c>
      <c r="CN339" t="s">
        <v>3</v>
      </c>
      <c r="CO339">
        <v>0</v>
      </c>
      <c r="CP339">
        <f>(P339+Q339+S339)</f>
        <v>39443.229999999996</v>
      </c>
      <c r="CQ339">
        <f>(AC339*BC339*AW339)</f>
        <v>75528.429999999993</v>
      </c>
      <c r="CR339">
        <f>((((ET339)*BB339-(EU339)*BS339)+AE339*BS339)*AV339)</f>
        <v>589</v>
      </c>
      <c r="CS339">
        <f>(AE339*BS339*AV339)</f>
        <v>25.65</v>
      </c>
      <c r="CT339">
        <f>(AF339*BA339*AV339)</f>
        <v>22490.639999999999</v>
      </c>
      <c r="CU339">
        <f>AG339</f>
        <v>0</v>
      </c>
      <c r="CV339">
        <f>(AH339*AV339)</f>
        <v>87.4</v>
      </c>
      <c r="CW339">
        <f t="shared" si="182"/>
        <v>0</v>
      </c>
      <c r="CX339">
        <f t="shared" si="182"/>
        <v>0</v>
      </c>
      <c r="CY339">
        <f>((S339*BZ339)/100)</f>
        <v>6297.3820000000005</v>
      </c>
      <c r="CZ339">
        <f>((S339*CA339)/100)</f>
        <v>899.62600000000009</v>
      </c>
      <c r="DC339" t="s">
        <v>3</v>
      </c>
      <c r="DD339" t="s">
        <v>3</v>
      </c>
      <c r="DE339" t="s">
        <v>3</v>
      </c>
      <c r="DF339" t="s">
        <v>3</v>
      </c>
      <c r="DG339" t="s">
        <v>3</v>
      </c>
      <c r="DH339" t="s">
        <v>3</v>
      </c>
      <c r="DI339" t="s">
        <v>3</v>
      </c>
      <c r="DJ339" t="s">
        <v>3</v>
      </c>
      <c r="DK339" t="s">
        <v>3</v>
      </c>
      <c r="DL339" t="s">
        <v>3</v>
      </c>
      <c r="DM339" t="s">
        <v>3</v>
      </c>
      <c r="DN339">
        <v>0</v>
      </c>
      <c r="DO339">
        <v>0</v>
      </c>
      <c r="DP339">
        <v>1</v>
      </c>
      <c r="DQ339">
        <v>1</v>
      </c>
      <c r="DU339">
        <v>1009</v>
      </c>
      <c r="DV339" t="s">
        <v>155</v>
      </c>
      <c r="DW339" t="s">
        <v>155</v>
      </c>
      <c r="DX339">
        <v>1000</v>
      </c>
      <c r="EE339">
        <v>38447819</v>
      </c>
      <c r="EF339">
        <v>1</v>
      </c>
      <c r="EG339" t="s">
        <v>23</v>
      </c>
      <c r="EH339">
        <v>0</v>
      </c>
      <c r="EI339" t="s">
        <v>3</v>
      </c>
      <c r="EJ339">
        <v>4</v>
      </c>
      <c r="EK339">
        <v>0</v>
      </c>
      <c r="EL339" t="s">
        <v>24</v>
      </c>
      <c r="EM339" t="s">
        <v>25</v>
      </c>
      <c r="EO339" t="s">
        <v>3</v>
      </c>
      <c r="EQ339">
        <v>0</v>
      </c>
      <c r="ER339">
        <v>98608.07</v>
      </c>
      <c r="ES339">
        <v>75528.429999999993</v>
      </c>
      <c r="ET339">
        <v>589</v>
      </c>
      <c r="EU339">
        <v>25.65</v>
      </c>
      <c r="EV339">
        <v>22490.639999999999</v>
      </c>
      <c r="EW339">
        <v>87.4</v>
      </c>
      <c r="EX339">
        <v>0</v>
      </c>
      <c r="EY339">
        <v>0</v>
      </c>
      <c r="FQ339">
        <v>0</v>
      </c>
      <c r="FR339">
        <f>ROUND(IF(AND(BH339=3,BI339=3),P339,0),2)</f>
        <v>0</v>
      </c>
      <c r="FS339">
        <v>0</v>
      </c>
      <c r="FX339">
        <v>70</v>
      </c>
      <c r="FY339">
        <v>10</v>
      </c>
      <c r="GA339" t="s">
        <v>3</v>
      </c>
      <c r="GD339">
        <v>0</v>
      </c>
      <c r="GF339">
        <v>-1542919465</v>
      </c>
      <c r="GG339">
        <v>2</v>
      </c>
      <c r="GH339">
        <v>1</v>
      </c>
      <c r="GI339">
        <v>-2</v>
      </c>
      <c r="GJ339">
        <v>0</v>
      </c>
      <c r="GK339">
        <f>ROUND(R339*(R12)/100,2)</f>
        <v>11.08</v>
      </c>
      <c r="GL339">
        <f>ROUND(IF(AND(BH339=3,BI339=3,FS339&lt;&gt;0),P339,0),2)</f>
        <v>0</v>
      </c>
      <c r="GM339">
        <f>ROUND(O339+X339+Y339+GK339,2)+GX339</f>
        <v>46651.32</v>
      </c>
      <c r="GN339">
        <f>IF(OR(BI339=0,BI339=1),ROUND(O339+X339+Y339+GK339,2),0)</f>
        <v>0</v>
      </c>
      <c r="GO339">
        <f>IF(BI339=2,ROUND(O339+X339+Y339+GK339,2),0)</f>
        <v>0</v>
      </c>
      <c r="GP339">
        <f>IF(BI339=4,ROUND(O339+X339+Y339+GK339,2)+GX339,0)</f>
        <v>46651.32</v>
      </c>
      <c r="GR339">
        <v>0</v>
      </c>
      <c r="GS339">
        <v>3</v>
      </c>
      <c r="GT339">
        <v>0</v>
      </c>
      <c r="GU339" t="s">
        <v>3</v>
      </c>
      <c r="GV339">
        <f>ROUND((GT339),6)</f>
        <v>0</v>
      </c>
      <c r="GW339">
        <v>1</v>
      </c>
      <c r="GX339">
        <f>ROUND(HC339*I339,2)</f>
        <v>0</v>
      </c>
      <c r="HA339">
        <v>0</v>
      </c>
      <c r="HB339">
        <v>0</v>
      </c>
      <c r="HC339">
        <f>GV339*GW339</f>
        <v>0</v>
      </c>
      <c r="HE339" t="s">
        <v>3</v>
      </c>
      <c r="HF339" t="s">
        <v>3</v>
      </c>
      <c r="IK339">
        <v>0</v>
      </c>
    </row>
    <row r="340" spans="1:245" x14ac:dyDescent="0.2">
      <c r="A340">
        <v>18</v>
      </c>
      <c r="B340">
        <v>1</v>
      </c>
      <c r="C340">
        <v>218</v>
      </c>
      <c r="E340" t="s">
        <v>272</v>
      </c>
      <c r="F340" t="s">
        <v>196</v>
      </c>
      <c r="G340" t="s">
        <v>273</v>
      </c>
      <c r="H340" t="s">
        <v>198</v>
      </c>
      <c r="I340">
        <f>I339*J340</f>
        <v>0.35936600000000002</v>
      </c>
      <c r="J340">
        <v>0.89841499999999996</v>
      </c>
      <c r="O340">
        <f>ROUND(CP340,2)</f>
        <v>12680.23</v>
      </c>
      <c r="P340">
        <f>ROUND(CQ340*I340,2)</f>
        <v>12680.23</v>
      </c>
      <c r="Q340">
        <f>ROUND(CR340*I340,2)</f>
        <v>0</v>
      </c>
      <c r="R340">
        <f>ROUND(CS340*I340,2)</f>
        <v>0</v>
      </c>
      <c r="S340">
        <f>ROUND(CT340*I340,2)</f>
        <v>0</v>
      </c>
      <c r="T340">
        <f>ROUND(CU340*I340,2)</f>
        <v>0</v>
      </c>
      <c r="U340">
        <f>CV340*I340</f>
        <v>0</v>
      </c>
      <c r="V340">
        <f>CW340*I340</f>
        <v>0</v>
      </c>
      <c r="W340">
        <f>ROUND(CX340*I340,2)</f>
        <v>0</v>
      </c>
      <c r="X340">
        <f t="shared" si="179"/>
        <v>0</v>
      </c>
      <c r="Y340">
        <f t="shared" si="179"/>
        <v>0</v>
      </c>
      <c r="AA340">
        <v>38799519</v>
      </c>
      <c r="AB340">
        <f>ROUND((AC340+AD340+AF340),6)</f>
        <v>35285</v>
      </c>
      <c r="AC340">
        <f>ROUND((ES340),6)</f>
        <v>35285</v>
      </c>
      <c r="AD340">
        <f>ROUND((((ET340)-(EU340))+AE340),6)</f>
        <v>0</v>
      </c>
      <c r="AE340">
        <f t="shared" si="180"/>
        <v>0</v>
      </c>
      <c r="AF340">
        <f t="shared" si="180"/>
        <v>0</v>
      </c>
      <c r="AG340">
        <f>ROUND((AP340),6)</f>
        <v>0</v>
      </c>
      <c r="AH340">
        <f t="shared" si="181"/>
        <v>0</v>
      </c>
      <c r="AI340">
        <f t="shared" si="181"/>
        <v>0</v>
      </c>
      <c r="AJ340">
        <f>(AS340)</f>
        <v>0</v>
      </c>
      <c r="AK340">
        <v>35285</v>
      </c>
      <c r="AL340">
        <v>35285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70</v>
      </c>
      <c r="AU340">
        <v>10</v>
      </c>
      <c r="AV340">
        <v>1</v>
      </c>
      <c r="AW340">
        <v>1</v>
      </c>
      <c r="AZ340">
        <v>1</v>
      </c>
      <c r="BA340">
        <v>1</v>
      </c>
      <c r="BB340">
        <v>1</v>
      </c>
      <c r="BC340">
        <v>1</v>
      </c>
      <c r="BD340" t="s">
        <v>3</v>
      </c>
      <c r="BE340" t="s">
        <v>3</v>
      </c>
      <c r="BF340" t="s">
        <v>3</v>
      </c>
      <c r="BG340" t="s">
        <v>3</v>
      </c>
      <c r="BH340">
        <v>3</v>
      </c>
      <c r="BI340">
        <v>4</v>
      </c>
      <c r="BJ340" t="s">
        <v>3</v>
      </c>
      <c r="BM340">
        <v>0</v>
      </c>
      <c r="BN340">
        <v>0</v>
      </c>
      <c r="BO340" t="s">
        <v>3</v>
      </c>
      <c r="BP340">
        <v>0</v>
      </c>
      <c r="BQ340">
        <v>1</v>
      </c>
      <c r="BR340">
        <v>0</v>
      </c>
      <c r="BS340">
        <v>1</v>
      </c>
      <c r="BT340">
        <v>1</v>
      </c>
      <c r="BU340">
        <v>1</v>
      </c>
      <c r="BV340">
        <v>1</v>
      </c>
      <c r="BW340">
        <v>1</v>
      </c>
      <c r="BX340">
        <v>1</v>
      </c>
      <c r="BY340" t="s">
        <v>3</v>
      </c>
      <c r="BZ340">
        <v>70</v>
      </c>
      <c r="CA340">
        <v>10</v>
      </c>
      <c r="CE340">
        <v>0</v>
      </c>
      <c r="CF340">
        <v>0</v>
      </c>
      <c r="CG340">
        <v>0</v>
      </c>
      <c r="CM340">
        <v>0</v>
      </c>
      <c r="CN340" t="s">
        <v>3</v>
      </c>
      <c r="CO340">
        <v>0</v>
      </c>
      <c r="CP340">
        <f>(P340+Q340+S340)</f>
        <v>12680.23</v>
      </c>
      <c r="CQ340">
        <f>(AC340*BC340*AW340)</f>
        <v>35285</v>
      </c>
      <c r="CR340">
        <f>((((ET340)*BB340-(EU340)*BS340)+AE340*BS340)*AV340)</f>
        <v>0</v>
      </c>
      <c r="CS340">
        <f>(AE340*BS340*AV340)</f>
        <v>0</v>
      </c>
      <c r="CT340">
        <f>(AF340*BA340*AV340)</f>
        <v>0</v>
      </c>
      <c r="CU340">
        <f>AG340</f>
        <v>0</v>
      </c>
      <c r="CV340">
        <f>(AH340*AV340)</f>
        <v>0</v>
      </c>
      <c r="CW340">
        <f t="shared" si="182"/>
        <v>0</v>
      </c>
      <c r="CX340">
        <f t="shared" si="182"/>
        <v>0</v>
      </c>
      <c r="CY340">
        <f>((S340*BZ340)/100)</f>
        <v>0</v>
      </c>
      <c r="CZ340">
        <f>((S340*CA340)/100)</f>
        <v>0</v>
      </c>
      <c r="DC340" t="s">
        <v>3</v>
      </c>
      <c r="DD340" t="s">
        <v>3</v>
      </c>
      <c r="DE340" t="s">
        <v>3</v>
      </c>
      <c r="DF340" t="s">
        <v>3</v>
      </c>
      <c r="DG340" t="s">
        <v>3</v>
      </c>
      <c r="DH340" t="s">
        <v>3</v>
      </c>
      <c r="DI340" t="s">
        <v>3</v>
      </c>
      <c r="DJ340" t="s">
        <v>3</v>
      </c>
      <c r="DK340" t="s">
        <v>3</v>
      </c>
      <c r="DL340" t="s">
        <v>3</v>
      </c>
      <c r="DM340" t="s">
        <v>3</v>
      </c>
      <c r="DN340">
        <v>0</v>
      </c>
      <c r="DO340">
        <v>0</v>
      </c>
      <c r="DP340">
        <v>1</v>
      </c>
      <c r="DQ340">
        <v>1</v>
      </c>
      <c r="DU340">
        <v>1010</v>
      </c>
      <c r="DV340" t="s">
        <v>198</v>
      </c>
      <c r="DW340" t="s">
        <v>198</v>
      </c>
      <c r="DX340">
        <v>1</v>
      </c>
      <c r="EE340">
        <v>38447819</v>
      </c>
      <c r="EF340">
        <v>1</v>
      </c>
      <c r="EG340" t="s">
        <v>23</v>
      </c>
      <c r="EH340">
        <v>0</v>
      </c>
      <c r="EI340" t="s">
        <v>3</v>
      </c>
      <c r="EJ340">
        <v>4</v>
      </c>
      <c r="EK340">
        <v>0</v>
      </c>
      <c r="EL340" t="s">
        <v>24</v>
      </c>
      <c r="EM340" t="s">
        <v>25</v>
      </c>
      <c r="EO340" t="s">
        <v>3</v>
      </c>
      <c r="EQ340">
        <v>0</v>
      </c>
      <c r="ER340">
        <v>35285</v>
      </c>
      <c r="ES340">
        <v>35285</v>
      </c>
      <c r="ET340">
        <v>0</v>
      </c>
      <c r="EU340">
        <v>0</v>
      </c>
      <c r="EV340">
        <v>0</v>
      </c>
      <c r="EW340">
        <v>0</v>
      </c>
      <c r="EX340">
        <v>0</v>
      </c>
      <c r="EZ340">
        <v>5</v>
      </c>
      <c r="FC340">
        <v>1</v>
      </c>
      <c r="FD340">
        <v>18</v>
      </c>
      <c r="FF340">
        <v>42342</v>
      </c>
      <c r="FQ340">
        <v>0</v>
      </c>
      <c r="FR340">
        <f>ROUND(IF(AND(BH340=3,BI340=3),P340,0),2)</f>
        <v>0</v>
      </c>
      <c r="FS340">
        <v>0</v>
      </c>
      <c r="FX340">
        <v>70</v>
      </c>
      <c r="FY340">
        <v>10</v>
      </c>
      <c r="GA340" t="s">
        <v>274</v>
      </c>
      <c r="GD340">
        <v>0</v>
      </c>
      <c r="GF340">
        <v>1996869071</v>
      </c>
      <c r="GG340">
        <v>2</v>
      </c>
      <c r="GH340">
        <v>3</v>
      </c>
      <c r="GI340">
        <v>-2</v>
      </c>
      <c r="GJ340">
        <v>0</v>
      </c>
      <c r="GK340">
        <f>ROUND(R340*(R12)/100,2)</f>
        <v>0</v>
      </c>
      <c r="GL340">
        <f>ROUND(IF(AND(BH340=3,BI340=3,FS340&lt;&gt;0),P340,0),2)</f>
        <v>0</v>
      </c>
      <c r="GM340">
        <f>ROUND(O340+X340+Y340+GK340,2)+GX340</f>
        <v>12680.23</v>
      </c>
      <c r="GN340">
        <f>IF(OR(BI340=0,BI340=1),ROUND(O340+X340+Y340+GK340,2),0)</f>
        <v>0</v>
      </c>
      <c r="GO340">
        <f>IF(BI340=2,ROUND(O340+X340+Y340+GK340,2),0)</f>
        <v>0</v>
      </c>
      <c r="GP340">
        <f>IF(BI340=4,ROUND(O340+X340+Y340+GK340,2)+GX340,0)</f>
        <v>12680.23</v>
      </c>
      <c r="GR340">
        <v>1</v>
      </c>
      <c r="GS340">
        <v>1</v>
      </c>
      <c r="GT340">
        <v>0</v>
      </c>
      <c r="GU340" t="s">
        <v>3</v>
      </c>
      <c r="GV340">
        <f>ROUND((GT340),6)</f>
        <v>0</v>
      </c>
      <c r="GW340">
        <v>1</v>
      </c>
      <c r="GX340">
        <f>ROUND(HC340*I340,2)</f>
        <v>0</v>
      </c>
      <c r="HA340">
        <v>0</v>
      </c>
      <c r="HB340">
        <v>0</v>
      </c>
      <c r="HC340">
        <f>GV340*GW340</f>
        <v>0</v>
      </c>
      <c r="HE340" t="s">
        <v>200</v>
      </c>
      <c r="HF340" t="s">
        <v>200</v>
      </c>
      <c r="IK340">
        <v>0</v>
      </c>
    </row>
    <row r="342" spans="1:245" x14ac:dyDescent="0.2">
      <c r="A342" s="2">
        <v>51</v>
      </c>
      <c r="B342" s="2">
        <f>B333</f>
        <v>1</v>
      </c>
      <c r="C342" s="2">
        <f>A333</f>
        <v>5</v>
      </c>
      <c r="D342" s="2">
        <f>ROW(A333)</f>
        <v>333</v>
      </c>
      <c r="E342" s="2"/>
      <c r="F342" s="2" t="str">
        <f>IF(F333&lt;&gt;"",F333,"")</f>
        <v>Новый подраздел</v>
      </c>
      <c r="G342" s="2" t="str">
        <f>IF(G333&lt;&gt;"",G333,"")</f>
        <v>Строительные работы</v>
      </c>
      <c r="H342" s="2">
        <v>0</v>
      </c>
      <c r="I342" s="2"/>
      <c r="J342" s="2"/>
      <c r="K342" s="2"/>
      <c r="L342" s="2"/>
      <c r="M342" s="2"/>
      <c r="N342" s="2"/>
      <c r="O342" s="2">
        <f t="shared" ref="O342:T342" si="183">ROUND(AB342,2)</f>
        <v>54218.61</v>
      </c>
      <c r="P342" s="2">
        <f t="shared" si="183"/>
        <v>44522.31</v>
      </c>
      <c r="Q342" s="2">
        <f t="shared" si="183"/>
        <v>405.2</v>
      </c>
      <c r="R342" s="2">
        <f t="shared" si="183"/>
        <v>111.7</v>
      </c>
      <c r="S342" s="2">
        <f t="shared" si="183"/>
        <v>9291.1</v>
      </c>
      <c r="T342" s="2">
        <f t="shared" si="183"/>
        <v>0</v>
      </c>
      <c r="U342" s="2">
        <f>AH342</f>
        <v>36.46</v>
      </c>
      <c r="V342" s="2">
        <f>AI342</f>
        <v>0</v>
      </c>
      <c r="W342" s="2">
        <f>ROUND(AJ342,2)</f>
        <v>0</v>
      </c>
      <c r="X342" s="2">
        <f>ROUND(AK342,2)</f>
        <v>6503.77</v>
      </c>
      <c r="Y342" s="2">
        <f>ROUND(AL342,2)</f>
        <v>929.12</v>
      </c>
      <c r="Z342" s="2"/>
      <c r="AA342" s="2"/>
      <c r="AB342" s="2">
        <f>ROUND(SUMIF(AA337:AA340,"=38799519",O337:O340),2)</f>
        <v>54218.61</v>
      </c>
      <c r="AC342" s="2">
        <f>ROUND(SUMIF(AA337:AA340,"=38799519",P337:P340),2)</f>
        <v>44522.31</v>
      </c>
      <c r="AD342" s="2">
        <f>ROUND(SUMIF(AA337:AA340,"=38799519",Q337:Q340),2)</f>
        <v>405.2</v>
      </c>
      <c r="AE342" s="2">
        <f>ROUND(SUMIF(AA337:AA340,"=38799519",R337:R340),2)</f>
        <v>111.7</v>
      </c>
      <c r="AF342" s="2">
        <f>ROUND(SUMIF(AA337:AA340,"=38799519",S337:S340),2)</f>
        <v>9291.1</v>
      </c>
      <c r="AG342" s="2">
        <f>ROUND(SUMIF(AA337:AA340,"=38799519",T337:T340),2)</f>
        <v>0</v>
      </c>
      <c r="AH342" s="2">
        <f>SUMIF(AA337:AA340,"=38799519",U337:U340)</f>
        <v>36.46</v>
      </c>
      <c r="AI342" s="2">
        <f>SUMIF(AA337:AA340,"=38799519",V337:V340)</f>
        <v>0</v>
      </c>
      <c r="AJ342" s="2">
        <f>ROUND(SUMIF(AA337:AA340,"=38799519",W337:W340),2)</f>
        <v>0</v>
      </c>
      <c r="AK342" s="2">
        <f>ROUND(SUMIF(AA337:AA340,"=38799519",X337:X340),2)</f>
        <v>6503.77</v>
      </c>
      <c r="AL342" s="2">
        <f>ROUND(SUMIF(AA337:AA340,"=38799519",Y337:Y340),2)</f>
        <v>929.12</v>
      </c>
      <c r="AM342" s="2"/>
      <c r="AN342" s="2"/>
      <c r="AO342" s="2">
        <f t="shared" ref="AO342:BD342" si="184">ROUND(BX342,2)</f>
        <v>0</v>
      </c>
      <c r="AP342" s="2">
        <f t="shared" si="184"/>
        <v>0</v>
      </c>
      <c r="AQ342" s="2">
        <f t="shared" si="184"/>
        <v>0</v>
      </c>
      <c r="AR342" s="2">
        <f t="shared" si="184"/>
        <v>61772.13</v>
      </c>
      <c r="AS342" s="2">
        <f t="shared" si="184"/>
        <v>0</v>
      </c>
      <c r="AT342" s="2">
        <f t="shared" si="184"/>
        <v>0</v>
      </c>
      <c r="AU342" s="2">
        <f t="shared" si="184"/>
        <v>61772.13</v>
      </c>
      <c r="AV342" s="2">
        <f t="shared" si="184"/>
        <v>44522.31</v>
      </c>
      <c r="AW342" s="2">
        <f t="shared" si="184"/>
        <v>44522.31</v>
      </c>
      <c r="AX342" s="2">
        <f t="shared" si="184"/>
        <v>0</v>
      </c>
      <c r="AY342" s="2">
        <f t="shared" si="184"/>
        <v>44522.31</v>
      </c>
      <c r="AZ342" s="2">
        <f t="shared" si="184"/>
        <v>0</v>
      </c>
      <c r="BA342" s="2">
        <f t="shared" si="184"/>
        <v>0</v>
      </c>
      <c r="BB342" s="2">
        <f t="shared" si="184"/>
        <v>0</v>
      </c>
      <c r="BC342" s="2">
        <f t="shared" si="184"/>
        <v>0</v>
      </c>
      <c r="BD342" s="2">
        <f t="shared" si="184"/>
        <v>0</v>
      </c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>
        <f>ROUND(SUMIF(AA337:AA340,"=38799519",FQ337:FQ340),2)</f>
        <v>0</v>
      </c>
      <c r="BY342" s="2">
        <f>ROUND(SUMIF(AA337:AA340,"=38799519",FR337:FR340),2)</f>
        <v>0</v>
      </c>
      <c r="BZ342" s="2">
        <f>ROUND(SUMIF(AA337:AA340,"=38799519",GL337:GL340),2)</f>
        <v>0</v>
      </c>
      <c r="CA342" s="2">
        <f>ROUND(SUMIF(AA337:AA340,"=38799519",GM337:GM340),2)</f>
        <v>61772.13</v>
      </c>
      <c r="CB342" s="2">
        <f>ROUND(SUMIF(AA337:AA340,"=38799519",GN337:GN340),2)</f>
        <v>0</v>
      </c>
      <c r="CC342" s="2">
        <f>ROUND(SUMIF(AA337:AA340,"=38799519",GO337:GO340),2)</f>
        <v>0</v>
      </c>
      <c r="CD342" s="2">
        <f>ROUND(SUMIF(AA337:AA340,"=38799519",GP337:GP340),2)</f>
        <v>61772.13</v>
      </c>
      <c r="CE342" s="2">
        <f>AC342-BX342</f>
        <v>44522.31</v>
      </c>
      <c r="CF342" s="2">
        <f>AC342-BY342</f>
        <v>44522.31</v>
      </c>
      <c r="CG342" s="2">
        <f>BX342-BZ342</f>
        <v>0</v>
      </c>
      <c r="CH342" s="2">
        <f>AC342-BX342-BY342+BZ342</f>
        <v>44522.31</v>
      </c>
      <c r="CI342" s="2">
        <f>BY342-BZ342</f>
        <v>0</v>
      </c>
      <c r="CJ342" s="2">
        <f>ROUND(SUMIF(AA337:AA340,"=38799519",GX337:GX340),2)</f>
        <v>0</v>
      </c>
      <c r="CK342" s="2">
        <f>ROUND(SUMIF(AA337:AA340,"=38799519",GY337:GY340),2)</f>
        <v>0</v>
      </c>
      <c r="CL342" s="2">
        <f>ROUND(SUMIF(AA337:AA340,"=38799519",GZ337:GZ340),2)</f>
        <v>0</v>
      </c>
      <c r="CM342" s="2">
        <f>ROUND(SUMIF(AA337:AA340,"=38799519",HD337:HD340),2)</f>
        <v>0</v>
      </c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>
        <v>0</v>
      </c>
    </row>
    <row r="344" spans="1:245" x14ac:dyDescent="0.2">
      <c r="A344" s="4">
        <v>50</v>
      </c>
      <c r="B344" s="4">
        <v>0</v>
      </c>
      <c r="C344" s="4">
        <v>0</v>
      </c>
      <c r="D344" s="4">
        <v>1</v>
      </c>
      <c r="E344" s="4">
        <v>201</v>
      </c>
      <c r="F344" s="4">
        <f>ROUND(Source!O342,O344)</f>
        <v>54218.61</v>
      </c>
      <c r="G344" s="4" t="s">
        <v>50</v>
      </c>
      <c r="H344" s="4" t="s">
        <v>51</v>
      </c>
      <c r="I344" s="4"/>
      <c r="J344" s="4"/>
      <c r="K344" s="4">
        <v>201</v>
      </c>
      <c r="L344" s="4">
        <v>1</v>
      </c>
      <c r="M344" s="4">
        <v>3</v>
      </c>
      <c r="N344" s="4" t="s">
        <v>3</v>
      </c>
      <c r="O344" s="4">
        <v>2</v>
      </c>
      <c r="P344" s="4"/>
      <c r="Q344" s="4"/>
      <c r="R344" s="4"/>
      <c r="S344" s="4"/>
      <c r="T344" s="4"/>
      <c r="U344" s="4"/>
      <c r="V344" s="4"/>
      <c r="W344" s="4"/>
    </row>
    <row r="345" spans="1:245" x14ac:dyDescent="0.2">
      <c r="A345" s="4">
        <v>50</v>
      </c>
      <c r="B345" s="4">
        <v>0</v>
      </c>
      <c r="C345" s="4">
        <v>0</v>
      </c>
      <c r="D345" s="4">
        <v>1</v>
      </c>
      <c r="E345" s="4">
        <v>202</v>
      </c>
      <c r="F345" s="4">
        <f>ROUND(Source!P342,O345)</f>
        <v>44522.31</v>
      </c>
      <c r="G345" s="4" t="s">
        <v>52</v>
      </c>
      <c r="H345" s="4" t="s">
        <v>53</v>
      </c>
      <c r="I345" s="4"/>
      <c r="J345" s="4"/>
      <c r="K345" s="4">
        <v>202</v>
      </c>
      <c r="L345" s="4">
        <v>2</v>
      </c>
      <c r="M345" s="4">
        <v>3</v>
      </c>
      <c r="N345" s="4" t="s">
        <v>3</v>
      </c>
      <c r="O345" s="4">
        <v>2</v>
      </c>
      <c r="P345" s="4"/>
      <c r="Q345" s="4"/>
      <c r="R345" s="4"/>
      <c r="S345" s="4"/>
      <c r="T345" s="4"/>
      <c r="U345" s="4"/>
      <c r="V345" s="4"/>
      <c r="W345" s="4"/>
    </row>
    <row r="346" spans="1:245" x14ac:dyDescent="0.2">
      <c r="A346" s="4">
        <v>50</v>
      </c>
      <c r="B346" s="4">
        <v>0</v>
      </c>
      <c r="C346" s="4">
        <v>0</v>
      </c>
      <c r="D346" s="4">
        <v>1</v>
      </c>
      <c r="E346" s="4">
        <v>222</v>
      </c>
      <c r="F346" s="4">
        <f>ROUND(Source!AO342,O346)</f>
        <v>0</v>
      </c>
      <c r="G346" s="4" t="s">
        <v>54</v>
      </c>
      <c r="H346" s="4" t="s">
        <v>55</v>
      </c>
      <c r="I346" s="4"/>
      <c r="J346" s="4"/>
      <c r="K346" s="4">
        <v>222</v>
      </c>
      <c r="L346" s="4">
        <v>3</v>
      </c>
      <c r="M346" s="4">
        <v>3</v>
      </c>
      <c r="N346" s="4" t="s">
        <v>3</v>
      </c>
      <c r="O346" s="4">
        <v>2</v>
      </c>
      <c r="P346" s="4"/>
      <c r="Q346" s="4"/>
      <c r="R346" s="4"/>
      <c r="S346" s="4"/>
      <c r="T346" s="4"/>
      <c r="U346" s="4"/>
      <c r="V346" s="4"/>
      <c r="W346" s="4"/>
    </row>
    <row r="347" spans="1:245" x14ac:dyDescent="0.2">
      <c r="A347" s="4">
        <v>50</v>
      </c>
      <c r="B347" s="4">
        <v>0</v>
      </c>
      <c r="C347" s="4">
        <v>0</v>
      </c>
      <c r="D347" s="4">
        <v>1</v>
      </c>
      <c r="E347" s="4">
        <v>225</v>
      </c>
      <c r="F347" s="4">
        <f>ROUND(Source!AV342,O347)</f>
        <v>44522.31</v>
      </c>
      <c r="G347" s="4" t="s">
        <v>56</v>
      </c>
      <c r="H347" s="4" t="s">
        <v>57</v>
      </c>
      <c r="I347" s="4"/>
      <c r="J347" s="4"/>
      <c r="K347" s="4">
        <v>225</v>
      </c>
      <c r="L347" s="4">
        <v>4</v>
      </c>
      <c r="M347" s="4">
        <v>3</v>
      </c>
      <c r="N347" s="4" t="s">
        <v>3</v>
      </c>
      <c r="O347" s="4">
        <v>2</v>
      </c>
      <c r="P347" s="4"/>
      <c r="Q347" s="4"/>
      <c r="R347" s="4"/>
      <c r="S347" s="4"/>
      <c r="T347" s="4"/>
      <c r="U347" s="4"/>
      <c r="V347" s="4"/>
      <c r="W347" s="4"/>
    </row>
    <row r="348" spans="1:245" x14ac:dyDescent="0.2">
      <c r="A348" s="4">
        <v>50</v>
      </c>
      <c r="B348" s="4">
        <v>0</v>
      </c>
      <c r="C348" s="4">
        <v>0</v>
      </c>
      <c r="D348" s="4">
        <v>1</v>
      </c>
      <c r="E348" s="4">
        <v>226</v>
      </c>
      <c r="F348" s="4">
        <f>ROUND(Source!AW342,O348)</f>
        <v>44522.31</v>
      </c>
      <c r="G348" s="4" t="s">
        <v>58</v>
      </c>
      <c r="H348" s="4" t="s">
        <v>59</v>
      </c>
      <c r="I348" s="4"/>
      <c r="J348" s="4"/>
      <c r="K348" s="4">
        <v>226</v>
      </c>
      <c r="L348" s="4">
        <v>5</v>
      </c>
      <c r="M348" s="4">
        <v>3</v>
      </c>
      <c r="N348" s="4" t="s">
        <v>3</v>
      </c>
      <c r="O348" s="4">
        <v>2</v>
      </c>
      <c r="P348" s="4"/>
      <c r="Q348" s="4"/>
      <c r="R348" s="4"/>
      <c r="S348" s="4"/>
      <c r="T348" s="4"/>
      <c r="U348" s="4"/>
      <c r="V348" s="4"/>
      <c r="W348" s="4"/>
    </row>
    <row r="349" spans="1:245" x14ac:dyDescent="0.2">
      <c r="A349" s="4">
        <v>50</v>
      </c>
      <c r="B349" s="4">
        <v>0</v>
      </c>
      <c r="C349" s="4">
        <v>0</v>
      </c>
      <c r="D349" s="4">
        <v>1</v>
      </c>
      <c r="E349" s="4">
        <v>227</v>
      </c>
      <c r="F349" s="4">
        <f>ROUND(Source!AX342,O349)</f>
        <v>0</v>
      </c>
      <c r="G349" s="4" t="s">
        <v>60</v>
      </c>
      <c r="H349" s="4" t="s">
        <v>61</v>
      </c>
      <c r="I349" s="4"/>
      <c r="J349" s="4"/>
      <c r="K349" s="4">
        <v>227</v>
      </c>
      <c r="L349" s="4">
        <v>6</v>
      </c>
      <c r="M349" s="4">
        <v>3</v>
      </c>
      <c r="N349" s="4" t="s">
        <v>3</v>
      </c>
      <c r="O349" s="4">
        <v>2</v>
      </c>
      <c r="P349" s="4"/>
      <c r="Q349" s="4"/>
      <c r="R349" s="4"/>
      <c r="S349" s="4"/>
      <c r="T349" s="4"/>
      <c r="U349" s="4"/>
      <c r="V349" s="4"/>
      <c r="W349" s="4"/>
    </row>
    <row r="350" spans="1:245" x14ac:dyDescent="0.2">
      <c r="A350" s="4">
        <v>50</v>
      </c>
      <c r="B350" s="4">
        <v>0</v>
      </c>
      <c r="C350" s="4">
        <v>0</v>
      </c>
      <c r="D350" s="4">
        <v>1</v>
      </c>
      <c r="E350" s="4">
        <v>228</v>
      </c>
      <c r="F350" s="4">
        <f>ROUND(Source!AY342,O350)</f>
        <v>44522.31</v>
      </c>
      <c r="G350" s="4" t="s">
        <v>62</v>
      </c>
      <c r="H350" s="4" t="s">
        <v>63</v>
      </c>
      <c r="I350" s="4"/>
      <c r="J350" s="4"/>
      <c r="K350" s="4">
        <v>228</v>
      </c>
      <c r="L350" s="4">
        <v>7</v>
      </c>
      <c r="M350" s="4">
        <v>3</v>
      </c>
      <c r="N350" s="4" t="s">
        <v>3</v>
      </c>
      <c r="O350" s="4">
        <v>2</v>
      </c>
      <c r="P350" s="4"/>
      <c r="Q350" s="4"/>
      <c r="R350" s="4"/>
      <c r="S350" s="4"/>
      <c r="T350" s="4"/>
      <c r="U350" s="4"/>
      <c r="V350" s="4"/>
      <c r="W350" s="4"/>
    </row>
    <row r="351" spans="1:245" x14ac:dyDescent="0.2">
      <c r="A351" s="4">
        <v>50</v>
      </c>
      <c r="B351" s="4">
        <v>0</v>
      </c>
      <c r="C351" s="4">
        <v>0</v>
      </c>
      <c r="D351" s="4">
        <v>1</v>
      </c>
      <c r="E351" s="4">
        <v>216</v>
      </c>
      <c r="F351" s="4">
        <f>ROUND(Source!AP342,O351)</f>
        <v>0</v>
      </c>
      <c r="G351" s="4" t="s">
        <v>64</v>
      </c>
      <c r="H351" s="4" t="s">
        <v>65</v>
      </c>
      <c r="I351" s="4"/>
      <c r="J351" s="4"/>
      <c r="K351" s="4">
        <v>216</v>
      </c>
      <c r="L351" s="4">
        <v>8</v>
      </c>
      <c r="M351" s="4">
        <v>3</v>
      </c>
      <c r="N351" s="4" t="s">
        <v>3</v>
      </c>
      <c r="O351" s="4">
        <v>2</v>
      </c>
      <c r="P351" s="4"/>
      <c r="Q351" s="4"/>
      <c r="R351" s="4"/>
      <c r="S351" s="4"/>
      <c r="T351" s="4"/>
      <c r="U351" s="4"/>
      <c r="V351" s="4"/>
      <c r="W351" s="4"/>
    </row>
    <row r="352" spans="1:245" x14ac:dyDescent="0.2">
      <c r="A352" s="4">
        <v>50</v>
      </c>
      <c r="B352" s="4">
        <v>0</v>
      </c>
      <c r="C352" s="4">
        <v>0</v>
      </c>
      <c r="D352" s="4">
        <v>1</v>
      </c>
      <c r="E352" s="4">
        <v>223</v>
      </c>
      <c r="F352" s="4">
        <f>ROUND(Source!AQ342,O352)</f>
        <v>0</v>
      </c>
      <c r="G352" s="4" t="s">
        <v>66</v>
      </c>
      <c r="H352" s="4" t="s">
        <v>67</v>
      </c>
      <c r="I352" s="4"/>
      <c r="J352" s="4"/>
      <c r="K352" s="4">
        <v>223</v>
      </c>
      <c r="L352" s="4">
        <v>9</v>
      </c>
      <c r="M352" s="4">
        <v>3</v>
      </c>
      <c r="N352" s="4" t="s">
        <v>3</v>
      </c>
      <c r="O352" s="4">
        <v>2</v>
      </c>
      <c r="P352" s="4"/>
      <c r="Q352" s="4"/>
      <c r="R352" s="4"/>
      <c r="S352" s="4"/>
      <c r="T352" s="4"/>
      <c r="U352" s="4"/>
      <c r="V352" s="4"/>
      <c r="W352" s="4"/>
    </row>
    <row r="353" spans="1:23" x14ac:dyDescent="0.2">
      <c r="A353" s="4">
        <v>50</v>
      </c>
      <c r="B353" s="4">
        <v>0</v>
      </c>
      <c r="C353" s="4">
        <v>0</v>
      </c>
      <c r="D353" s="4">
        <v>1</v>
      </c>
      <c r="E353" s="4">
        <v>229</v>
      </c>
      <c r="F353" s="4">
        <f>ROUND(Source!AZ342,O353)</f>
        <v>0</v>
      </c>
      <c r="G353" s="4" t="s">
        <v>68</v>
      </c>
      <c r="H353" s="4" t="s">
        <v>69</v>
      </c>
      <c r="I353" s="4"/>
      <c r="J353" s="4"/>
      <c r="K353" s="4">
        <v>229</v>
      </c>
      <c r="L353" s="4">
        <v>10</v>
      </c>
      <c r="M353" s="4">
        <v>3</v>
      </c>
      <c r="N353" s="4" t="s">
        <v>3</v>
      </c>
      <c r="O353" s="4">
        <v>2</v>
      </c>
      <c r="P353" s="4"/>
      <c r="Q353" s="4"/>
      <c r="R353" s="4"/>
      <c r="S353" s="4"/>
      <c r="T353" s="4"/>
      <c r="U353" s="4"/>
      <c r="V353" s="4"/>
      <c r="W353" s="4"/>
    </row>
    <row r="354" spans="1:23" x14ac:dyDescent="0.2">
      <c r="A354" s="4">
        <v>50</v>
      </c>
      <c r="B354" s="4">
        <v>0</v>
      </c>
      <c r="C354" s="4">
        <v>0</v>
      </c>
      <c r="D354" s="4">
        <v>1</v>
      </c>
      <c r="E354" s="4">
        <v>203</v>
      </c>
      <c r="F354" s="4">
        <f>ROUND(Source!Q342,O354)</f>
        <v>405.2</v>
      </c>
      <c r="G354" s="4" t="s">
        <v>70</v>
      </c>
      <c r="H354" s="4" t="s">
        <v>71</v>
      </c>
      <c r="I354" s="4"/>
      <c r="J354" s="4"/>
      <c r="K354" s="4">
        <v>203</v>
      </c>
      <c r="L354" s="4">
        <v>11</v>
      </c>
      <c r="M354" s="4">
        <v>3</v>
      </c>
      <c r="N354" s="4" t="s">
        <v>3</v>
      </c>
      <c r="O354" s="4">
        <v>2</v>
      </c>
      <c r="P354" s="4"/>
      <c r="Q354" s="4"/>
      <c r="R354" s="4"/>
      <c r="S354" s="4"/>
      <c r="T354" s="4"/>
      <c r="U354" s="4"/>
      <c r="V354" s="4"/>
      <c r="W354" s="4"/>
    </row>
    <row r="355" spans="1:23" x14ac:dyDescent="0.2">
      <c r="A355" s="4">
        <v>50</v>
      </c>
      <c r="B355" s="4">
        <v>0</v>
      </c>
      <c r="C355" s="4">
        <v>0</v>
      </c>
      <c r="D355" s="4">
        <v>1</v>
      </c>
      <c r="E355" s="4">
        <v>231</v>
      </c>
      <c r="F355" s="4">
        <f>ROUND(Source!BB342,O355)</f>
        <v>0</v>
      </c>
      <c r="G355" s="4" t="s">
        <v>72</v>
      </c>
      <c r="H355" s="4" t="s">
        <v>73</v>
      </c>
      <c r="I355" s="4"/>
      <c r="J355" s="4"/>
      <c r="K355" s="4">
        <v>231</v>
      </c>
      <c r="L355" s="4">
        <v>12</v>
      </c>
      <c r="M355" s="4">
        <v>3</v>
      </c>
      <c r="N355" s="4" t="s">
        <v>3</v>
      </c>
      <c r="O355" s="4">
        <v>2</v>
      </c>
      <c r="P355" s="4"/>
      <c r="Q355" s="4"/>
      <c r="R355" s="4"/>
      <c r="S355" s="4"/>
      <c r="T355" s="4"/>
      <c r="U355" s="4"/>
      <c r="V355" s="4"/>
      <c r="W355" s="4"/>
    </row>
    <row r="356" spans="1:23" x14ac:dyDescent="0.2">
      <c r="A356" s="4">
        <v>50</v>
      </c>
      <c r="B356" s="4">
        <v>0</v>
      </c>
      <c r="C356" s="4">
        <v>0</v>
      </c>
      <c r="D356" s="4">
        <v>1</v>
      </c>
      <c r="E356" s="4">
        <v>204</v>
      </c>
      <c r="F356" s="4">
        <f>ROUND(Source!R342,O356)</f>
        <v>111.7</v>
      </c>
      <c r="G356" s="4" t="s">
        <v>74</v>
      </c>
      <c r="H356" s="4" t="s">
        <v>75</v>
      </c>
      <c r="I356" s="4"/>
      <c r="J356" s="4"/>
      <c r="K356" s="4">
        <v>204</v>
      </c>
      <c r="L356" s="4">
        <v>13</v>
      </c>
      <c r="M356" s="4">
        <v>3</v>
      </c>
      <c r="N356" s="4" t="s">
        <v>3</v>
      </c>
      <c r="O356" s="4">
        <v>2</v>
      </c>
      <c r="P356" s="4"/>
      <c r="Q356" s="4"/>
      <c r="R356" s="4"/>
      <c r="S356" s="4"/>
      <c r="T356" s="4"/>
      <c r="U356" s="4"/>
      <c r="V356" s="4"/>
      <c r="W356" s="4"/>
    </row>
    <row r="357" spans="1:23" x14ac:dyDescent="0.2">
      <c r="A357" s="4">
        <v>50</v>
      </c>
      <c r="B357" s="4">
        <v>0</v>
      </c>
      <c r="C357" s="4">
        <v>0</v>
      </c>
      <c r="D357" s="4">
        <v>1</v>
      </c>
      <c r="E357" s="4">
        <v>205</v>
      </c>
      <c r="F357" s="4">
        <f>ROUND(Source!S342,O357)</f>
        <v>9291.1</v>
      </c>
      <c r="G357" s="4" t="s">
        <v>76</v>
      </c>
      <c r="H357" s="4" t="s">
        <v>77</v>
      </c>
      <c r="I357" s="4"/>
      <c r="J357" s="4"/>
      <c r="K357" s="4">
        <v>205</v>
      </c>
      <c r="L357" s="4">
        <v>14</v>
      </c>
      <c r="M357" s="4">
        <v>3</v>
      </c>
      <c r="N357" s="4" t="s">
        <v>3</v>
      </c>
      <c r="O357" s="4">
        <v>2</v>
      </c>
      <c r="P357" s="4"/>
      <c r="Q357" s="4"/>
      <c r="R357" s="4"/>
      <c r="S357" s="4"/>
      <c r="T357" s="4"/>
      <c r="U357" s="4"/>
      <c r="V357" s="4"/>
      <c r="W357" s="4"/>
    </row>
    <row r="358" spans="1:23" x14ac:dyDescent="0.2">
      <c r="A358" s="4">
        <v>50</v>
      </c>
      <c r="B358" s="4">
        <v>0</v>
      </c>
      <c r="C358" s="4">
        <v>0</v>
      </c>
      <c r="D358" s="4">
        <v>1</v>
      </c>
      <c r="E358" s="4">
        <v>232</v>
      </c>
      <c r="F358" s="4">
        <f>ROUND(Source!BC342,O358)</f>
        <v>0</v>
      </c>
      <c r="G358" s="4" t="s">
        <v>78</v>
      </c>
      <c r="H358" s="4" t="s">
        <v>79</v>
      </c>
      <c r="I358" s="4"/>
      <c r="J358" s="4"/>
      <c r="K358" s="4">
        <v>232</v>
      </c>
      <c r="L358" s="4">
        <v>15</v>
      </c>
      <c r="M358" s="4">
        <v>3</v>
      </c>
      <c r="N358" s="4" t="s">
        <v>3</v>
      </c>
      <c r="O358" s="4">
        <v>2</v>
      </c>
      <c r="P358" s="4"/>
      <c r="Q358" s="4"/>
      <c r="R358" s="4"/>
      <c r="S358" s="4"/>
      <c r="T358" s="4"/>
      <c r="U358" s="4"/>
      <c r="V358" s="4"/>
      <c r="W358" s="4"/>
    </row>
    <row r="359" spans="1:23" x14ac:dyDescent="0.2">
      <c r="A359" s="4">
        <v>50</v>
      </c>
      <c r="B359" s="4">
        <v>0</v>
      </c>
      <c r="C359" s="4">
        <v>0</v>
      </c>
      <c r="D359" s="4">
        <v>1</v>
      </c>
      <c r="E359" s="4">
        <v>214</v>
      </c>
      <c r="F359" s="4">
        <f>ROUND(Source!AS342,O359)</f>
        <v>0</v>
      </c>
      <c r="G359" s="4" t="s">
        <v>80</v>
      </c>
      <c r="H359" s="4" t="s">
        <v>81</v>
      </c>
      <c r="I359" s="4"/>
      <c r="J359" s="4"/>
      <c r="K359" s="4">
        <v>214</v>
      </c>
      <c r="L359" s="4">
        <v>16</v>
      </c>
      <c r="M359" s="4">
        <v>3</v>
      </c>
      <c r="N359" s="4" t="s">
        <v>3</v>
      </c>
      <c r="O359" s="4">
        <v>2</v>
      </c>
      <c r="P359" s="4"/>
      <c r="Q359" s="4"/>
      <c r="R359" s="4"/>
      <c r="S359" s="4"/>
      <c r="T359" s="4"/>
      <c r="U359" s="4"/>
      <c r="V359" s="4"/>
      <c r="W359" s="4"/>
    </row>
    <row r="360" spans="1:23" x14ac:dyDescent="0.2">
      <c r="A360" s="4">
        <v>50</v>
      </c>
      <c r="B360" s="4">
        <v>0</v>
      </c>
      <c r="C360" s="4">
        <v>0</v>
      </c>
      <c r="D360" s="4">
        <v>1</v>
      </c>
      <c r="E360" s="4">
        <v>215</v>
      </c>
      <c r="F360" s="4">
        <f>ROUND(Source!AT342,O360)</f>
        <v>0</v>
      </c>
      <c r="G360" s="4" t="s">
        <v>82</v>
      </c>
      <c r="H360" s="4" t="s">
        <v>83</v>
      </c>
      <c r="I360" s="4"/>
      <c r="J360" s="4"/>
      <c r="K360" s="4">
        <v>215</v>
      </c>
      <c r="L360" s="4">
        <v>17</v>
      </c>
      <c r="M360" s="4">
        <v>3</v>
      </c>
      <c r="N360" s="4" t="s">
        <v>3</v>
      </c>
      <c r="O360" s="4">
        <v>2</v>
      </c>
      <c r="P360" s="4"/>
      <c r="Q360" s="4"/>
      <c r="R360" s="4"/>
      <c r="S360" s="4"/>
      <c r="T360" s="4"/>
      <c r="U360" s="4"/>
      <c r="V360" s="4"/>
      <c r="W360" s="4"/>
    </row>
    <row r="361" spans="1:23" x14ac:dyDescent="0.2">
      <c r="A361" s="4">
        <v>50</v>
      </c>
      <c r="B361" s="4">
        <v>0</v>
      </c>
      <c r="C361" s="4">
        <v>0</v>
      </c>
      <c r="D361" s="4">
        <v>1</v>
      </c>
      <c r="E361" s="4">
        <v>217</v>
      </c>
      <c r="F361" s="4">
        <f>ROUND(Source!AU342,O361)</f>
        <v>61772.13</v>
      </c>
      <c r="G361" s="4" t="s">
        <v>84</v>
      </c>
      <c r="H361" s="4" t="s">
        <v>85</v>
      </c>
      <c r="I361" s="4"/>
      <c r="J361" s="4"/>
      <c r="K361" s="4">
        <v>217</v>
      </c>
      <c r="L361" s="4">
        <v>18</v>
      </c>
      <c r="M361" s="4">
        <v>3</v>
      </c>
      <c r="N361" s="4" t="s">
        <v>3</v>
      </c>
      <c r="O361" s="4">
        <v>2</v>
      </c>
      <c r="P361" s="4"/>
      <c r="Q361" s="4"/>
      <c r="R361" s="4"/>
      <c r="S361" s="4"/>
      <c r="T361" s="4"/>
      <c r="U361" s="4"/>
      <c r="V361" s="4"/>
      <c r="W361" s="4"/>
    </row>
    <row r="362" spans="1:23" x14ac:dyDescent="0.2">
      <c r="A362" s="4">
        <v>50</v>
      </c>
      <c r="B362" s="4">
        <v>0</v>
      </c>
      <c r="C362" s="4">
        <v>0</v>
      </c>
      <c r="D362" s="4">
        <v>1</v>
      </c>
      <c r="E362" s="4">
        <v>230</v>
      </c>
      <c r="F362" s="4">
        <f>ROUND(Source!BA342,O362)</f>
        <v>0</v>
      </c>
      <c r="G362" s="4" t="s">
        <v>86</v>
      </c>
      <c r="H362" s="4" t="s">
        <v>87</v>
      </c>
      <c r="I362" s="4"/>
      <c r="J362" s="4"/>
      <c r="K362" s="4">
        <v>230</v>
      </c>
      <c r="L362" s="4">
        <v>19</v>
      </c>
      <c r="M362" s="4">
        <v>3</v>
      </c>
      <c r="N362" s="4" t="s">
        <v>3</v>
      </c>
      <c r="O362" s="4">
        <v>2</v>
      </c>
      <c r="P362" s="4"/>
      <c r="Q362" s="4"/>
      <c r="R362" s="4"/>
      <c r="S362" s="4"/>
      <c r="T362" s="4"/>
      <c r="U362" s="4"/>
      <c r="V362" s="4"/>
      <c r="W362" s="4"/>
    </row>
    <row r="363" spans="1:23" x14ac:dyDescent="0.2">
      <c r="A363" s="4">
        <v>50</v>
      </c>
      <c r="B363" s="4">
        <v>0</v>
      </c>
      <c r="C363" s="4">
        <v>0</v>
      </c>
      <c r="D363" s="4">
        <v>1</v>
      </c>
      <c r="E363" s="4">
        <v>206</v>
      </c>
      <c r="F363" s="4">
        <f>ROUND(Source!T342,O363)</f>
        <v>0</v>
      </c>
      <c r="G363" s="4" t="s">
        <v>88</v>
      </c>
      <c r="H363" s="4" t="s">
        <v>89</v>
      </c>
      <c r="I363" s="4"/>
      <c r="J363" s="4"/>
      <c r="K363" s="4">
        <v>206</v>
      </c>
      <c r="L363" s="4">
        <v>20</v>
      </c>
      <c r="M363" s="4">
        <v>3</v>
      </c>
      <c r="N363" s="4" t="s">
        <v>3</v>
      </c>
      <c r="O363" s="4">
        <v>2</v>
      </c>
      <c r="P363" s="4"/>
      <c r="Q363" s="4"/>
      <c r="R363" s="4"/>
      <c r="S363" s="4"/>
      <c r="T363" s="4"/>
      <c r="U363" s="4"/>
      <c r="V363" s="4"/>
      <c r="W363" s="4"/>
    </row>
    <row r="364" spans="1:23" x14ac:dyDescent="0.2">
      <c r="A364" s="4">
        <v>50</v>
      </c>
      <c r="B364" s="4">
        <v>0</v>
      </c>
      <c r="C364" s="4">
        <v>0</v>
      </c>
      <c r="D364" s="4">
        <v>1</v>
      </c>
      <c r="E364" s="4">
        <v>207</v>
      </c>
      <c r="F364" s="4">
        <f>Source!U342</f>
        <v>36.46</v>
      </c>
      <c r="G364" s="4" t="s">
        <v>90</v>
      </c>
      <c r="H364" s="4" t="s">
        <v>91</v>
      </c>
      <c r="I364" s="4"/>
      <c r="J364" s="4"/>
      <c r="K364" s="4">
        <v>207</v>
      </c>
      <c r="L364" s="4">
        <v>21</v>
      </c>
      <c r="M364" s="4">
        <v>3</v>
      </c>
      <c r="N364" s="4" t="s">
        <v>3</v>
      </c>
      <c r="O364" s="4">
        <v>-1</v>
      </c>
      <c r="P364" s="4"/>
      <c r="Q364" s="4"/>
      <c r="R364" s="4"/>
      <c r="S364" s="4"/>
      <c r="T364" s="4"/>
      <c r="U364" s="4"/>
      <c r="V364" s="4"/>
      <c r="W364" s="4"/>
    </row>
    <row r="365" spans="1:23" x14ac:dyDescent="0.2">
      <c r="A365" s="4">
        <v>50</v>
      </c>
      <c r="B365" s="4">
        <v>0</v>
      </c>
      <c r="C365" s="4">
        <v>0</v>
      </c>
      <c r="D365" s="4">
        <v>1</v>
      </c>
      <c r="E365" s="4">
        <v>208</v>
      </c>
      <c r="F365" s="4">
        <f>Source!V342</f>
        <v>0</v>
      </c>
      <c r="G365" s="4" t="s">
        <v>92</v>
      </c>
      <c r="H365" s="4" t="s">
        <v>93</v>
      </c>
      <c r="I365" s="4"/>
      <c r="J365" s="4"/>
      <c r="K365" s="4">
        <v>208</v>
      </c>
      <c r="L365" s="4">
        <v>22</v>
      </c>
      <c r="M365" s="4">
        <v>3</v>
      </c>
      <c r="N365" s="4" t="s">
        <v>3</v>
      </c>
      <c r="O365" s="4">
        <v>-1</v>
      </c>
      <c r="P365" s="4"/>
      <c r="Q365" s="4"/>
      <c r="R365" s="4"/>
      <c r="S365" s="4"/>
      <c r="T365" s="4"/>
      <c r="U365" s="4"/>
      <c r="V365" s="4"/>
      <c r="W365" s="4"/>
    </row>
    <row r="366" spans="1:23" x14ac:dyDescent="0.2">
      <c r="A366" s="4">
        <v>50</v>
      </c>
      <c r="B366" s="4">
        <v>0</v>
      </c>
      <c r="C366" s="4">
        <v>0</v>
      </c>
      <c r="D366" s="4">
        <v>1</v>
      </c>
      <c r="E366" s="4">
        <v>209</v>
      </c>
      <c r="F366" s="4">
        <f>ROUND(Source!W342,O366)</f>
        <v>0</v>
      </c>
      <c r="G366" s="4" t="s">
        <v>94</v>
      </c>
      <c r="H366" s="4" t="s">
        <v>95</v>
      </c>
      <c r="I366" s="4"/>
      <c r="J366" s="4"/>
      <c r="K366" s="4">
        <v>209</v>
      </c>
      <c r="L366" s="4">
        <v>23</v>
      </c>
      <c r="M366" s="4">
        <v>3</v>
      </c>
      <c r="N366" s="4" t="s">
        <v>3</v>
      </c>
      <c r="O366" s="4">
        <v>2</v>
      </c>
      <c r="P366" s="4"/>
      <c r="Q366" s="4"/>
      <c r="R366" s="4"/>
      <c r="S366" s="4"/>
      <c r="T366" s="4"/>
      <c r="U366" s="4"/>
      <c r="V366" s="4"/>
      <c r="W366" s="4"/>
    </row>
    <row r="367" spans="1:23" x14ac:dyDescent="0.2">
      <c r="A367" s="4">
        <v>50</v>
      </c>
      <c r="B367" s="4">
        <v>0</v>
      </c>
      <c r="C367" s="4">
        <v>0</v>
      </c>
      <c r="D367" s="4">
        <v>1</v>
      </c>
      <c r="E367" s="4">
        <v>233</v>
      </c>
      <c r="F367" s="4">
        <f>ROUND(Source!BD342,O367)</f>
        <v>0</v>
      </c>
      <c r="G367" s="4" t="s">
        <v>96</v>
      </c>
      <c r="H367" s="4" t="s">
        <v>97</v>
      </c>
      <c r="I367" s="4"/>
      <c r="J367" s="4"/>
      <c r="K367" s="4">
        <v>233</v>
      </c>
      <c r="L367" s="4">
        <v>24</v>
      </c>
      <c r="M367" s="4">
        <v>3</v>
      </c>
      <c r="N367" s="4" t="s">
        <v>3</v>
      </c>
      <c r="O367" s="4">
        <v>2</v>
      </c>
      <c r="P367" s="4"/>
      <c r="Q367" s="4"/>
      <c r="R367" s="4"/>
      <c r="S367" s="4"/>
      <c r="T367" s="4"/>
      <c r="U367" s="4"/>
      <c r="V367" s="4"/>
      <c r="W367" s="4"/>
    </row>
    <row r="368" spans="1:23" x14ac:dyDescent="0.2">
      <c r="A368" s="4">
        <v>50</v>
      </c>
      <c r="B368" s="4">
        <v>0</v>
      </c>
      <c r="C368" s="4">
        <v>0</v>
      </c>
      <c r="D368" s="4">
        <v>1</v>
      </c>
      <c r="E368" s="4">
        <v>210</v>
      </c>
      <c r="F368" s="4">
        <f>ROUND(Source!X342,O368)</f>
        <v>6503.77</v>
      </c>
      <c r="G368" s="4" t="s">
        <v>98</v>
      </c>
      <c r="H368" s="4" t="s">
        <v>99</v>
      </c>
      <c r="I368" s="4"/>
      <c r="J368" s="4"/>
      <c r="K368" s="4">
        <v>210</v>
      </c>
      <c r="L368" s="4">
        <v>25</v>
      </c>
      <c r="M368" s="4">
        <v>3</v>
      </c>
      <c r="N368" s="4" t="s">
        <v>3</v>
      </c>
      <c r="O368" s="4">
        <v>2</v>
      </c>
      <c r="P368" s="4"/>
      <c r="Q368" s="4"/>
      <c r="R368" s="4"/>
      <c r="S368" s="4"/>
      <c r="T368" s="4"/>
      <c r="U368" s="4"/>
      <c r="V368" s="4"/>
      <c r="W368" s="4"/>
    </row>
    <row r="369" spans="1:206" x14ac:dyDescent="0.2">
      <c r="A369" s="4">
        <v>50</v>
      </c>
      <c r="B369" s="4">
        <v>0</v>
      </c>
      <c r="C369" s="4">
        <v>0</v>
      </c>
      <c r="D369" s="4">
        <v>1</v>
      </c>
      <c r="E369" s="4">
        <v>211</v>
      </c>
      <c r="F369" s="4">
        <f>ROUND(Source!Y342,O369)</f>
        <v>929.12</v>
      </c>
      <c r="G369" s="4" t="s">
        <v>100</v>
      </c>
      <c r="H369" s="4" t="s">
        <v>101</v>
      </c>
      <c r="I369" s="4"/>
      <c r="J369" s="4"/>
      <c r="K369" s="4">
        <v>211</v>
      </c>
      <c r="L369" s="4">
        <v>26</v>
      </c>
      <c r="M369" s="4">
        <v>3</v>
      </c>
      <c r="N369" s="4" t="s">
        <v>3</v>
      </c>
      <c r="O369" s="4">
        <v>2</v>
      </c>
      <c r="P369" s="4"/>
      <c r="Q369" s="4"/>
      <c r="R369" s="4"/>
      <c r="S369" s="4"/>
      <c r="T369" s="4"/>
      <c r="U369" s="4"/>
      <c r="V369" s="4"/>
      <c r="W369" s="4"/>
    </row>
    <row r="370" spans="1:206" x14ac:dyDescent="0.2">
      <c r="A370" s="4">
        <v>50</v>
      </c>
      <c r="B370" s="4">
        <v>0</v>
      </c>
      <c r="C370" s="4">
        <v>0</v>
      </c>
      <c r="D370" s="4">
        <v>1</v>
      </c>
      <c r="E370" s="4">
        <v>224</v>
      </c>
      <c r="F370" s="4">
        <f>ROUND(Source!AR342,O370)</f>
        <v>61772.13</v>
      </c>
      <c r="G370" s="4" t="s">
        <v>102</v>
      </c>
      <c r="H370" s="4" t="s">
        <v>103</v>
      </c>
      <c r="I370" s="4"/>
      <c r="J370" s="4"/>
      <c r="K370" s="4">
        <v>224</v>
      </c>
      <c r="L370" s="4">
        <v>27</v>
      </c>
      <c r="M370" s="4">
        <v>3</v>
      </c>
      <c r="N370" s="4" t="s">
        <v>3</v>
      </c>
      <c r="O370" s="4">
        <v>2</v>
      </c>
      <c r="P370" s="4"/>
      <c r="Q370" s="4"/>
      <c r="R370" s="4"/>
      <c r="S370" s="4"/>
      <c r="T370" s="4"/>
      <c r="U370" s="4"/>
      <c r="V370" s="4"/>
      <c r="W370" s="4"/>
    </row>
    <row r="372" spans="1:206" x14ac:dyDescent="0.2">
      <c r="A372" s="2">
        <v>51</v>
      </c>
      <c r="B372" s="2">
        <f>B290</f>
        <v>1</v>
      </c>
      <c r="C372" s="2">
        <f>A290</f>
        <v>4</v>
      </c>
      <c r="D372" s="2">
        <f>ROW(A290)</f>
        <v>290</v>
      </c>
      <c r="E372" s="2"/>
      <c r="F372" s="2" t="str">
        <f>IF(F290&lt;&gt;"",F290,"")</f>
        <v>Новый раздел</v>
      </c>
      <c r="G372" s="2" t="str">
        <f>IF(G290&lt;&gt;"",G290,"")</f>
        <v>Контейнерная площадка</v>
      </c>
      <c r="H372" s="2">
        <v>0</v>
      </c>
      <c r="I372" s="2"/>
      <c r="J372" s="2"/>
      <c r="K372" s="2"/>
      <c r="L372" s="2"/>
      <c r="M372" s="2"/>
      <c r="N372" s="2"/>
      <c r="O372" s="2">
        <f t="shared" ref="O372:T372" si="185">ROUND(O303+O342+AB372,2)</f>
        <v>63713.38</v>
      </c>
      <c r="P372" s="2">
        <f t="shared" si="185"/>
        <v>44522.31</v>
      </c>
      <c r="Q372" s="2">
        <f t="shared" si="185"/>
        <v>2739.28</v>
      </c>
      <c r="R372" s="2">
        <f t="shared" si="185"/>
        <v>1854.26</v>
      </c>
      <c r="S372" s="2">
        <f t="shared" si="185"/>
        <v>16451.79</v>
      </c>
      <c r="T372" s="2">
        <f t="shared" si="185"/>
        <v>0</v>
      </c>
      <c r="U372" s="2">
        <f>U303+U342+AH372</f>
        <v>79.35575</v>
      </c>
      <c r="V372" s="2">
        <f>V303+V342+AI372</f>
        <v>0</v>
      </c>
      <c r="W372" s="2">
        <f>ROUND(W303+W342+AJ372,2)</f>
        <v>0</v>
      </c>
      <c r="X372" s="2">
        <f>ROUND(X303+X342+AK372,2)</f>
        <v>11516.25</v>
      </c>
      <c r="Y372" s="2">
        <f>ROUND(Y303+Y342+AL372,2)</f>
        <v>1645.19</v>
      </c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>
        <f t="shared" ref="AO372:BD372" si="186">ROUND(AO303+AO342+BX372,2)</f>
        <v>0</v>
      </c>
      <c r="AP372" s="2">
        <f t="shared" si="186"/>
        <v>0</v>
      </c>
      <c r="AQ372" s="2">
        <f t="shared" si="186"/>
        <v>0</v>
      </c>
      <c r="AR372" s="2">
        <f t="shared" si="186"/>
        <v>78877.42</v>
      </c>
      <c r="AS372" s="2">
        <f t="shared" si="186"/>
        <v>0</v>
      </c>
      <c r="AT372" s="2">
        <f t="shared" si="186"/>
        <v>0</v>
      </c>
      <c r="AU372" s="2">
        <f t="shared" si="186"/>
        <v>78877.42</v>
      </c>
      <c r="AV372" s="2">
        <f t="shared" si="186"/>
        <v>44522.31</v>
      </c>
      <c r="AW372" s="2">
        <f t="shared" si="186"/>
        <v>44522.31</v>
      </c>
      <c r="AX372" s="2">
        <f t="shared" si="186"/>
        <v>0</v>
      </c>
      <c r="AY372" s="2">
        <f t="shared" si="186"/>
        <v>44522.31</v>
      </c>
      <c r="AZ372" s="2">
        <f t="shared" si="186"/>
        <v>0</v>
      </c>
      <c r="BA372" s="2">
        <f t="shared" si="186"/>
        <v>0</v>
      </c>
      <c r="BB372" s="2">
        <f t="shared" si="186"/>
        <v>0</v>
      </c>
      <c r="BC372" s="2">
        <f t="shared" si="186"/>
        <v>0</v>
      </c>
      <c r="BD372" s="2">
        <f t="shared" si="186"/>
        <v>0</v>
      </c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  <c r="FV372" s="3"/>
      <c r="FW372" s="3"/>
      <c r="FX372" s="3"/>
      <c r="FY372" s="3"/>
      <c r="FZ372" s="3"/>
      <c r="GA372" s="3"/>
      <c r="GB372" s="3"/>
      <c r="GC372" s="3"/>
      <c r="GD372" s="3"/>
      <c r="GE372" s="3"/>
      <c r="GF372" s="3"/>
      <c r="GG372" s="3"/>
      <c r="GH372" s="3"/>
      <c r="GI372" s="3"/>
      <c r="GJ372" s="3"/>
      <c r="GK372" s="3"/>
      <c r="GL372" s="3"/>
      <c r="GM372" s="3"/>
      <c r="GN372" s="3"/>
      <c r="GO372" s="3"/>
      <c r="GP372" s="3"/>
      <c r="GQ372" s="3"/>
      <c r="GR372" s="3"/>
      <c r="GS372" s="3"/>
      <c r="GT372" s="3"/>
      <c r="GU372" s="3"/>
      <c r="GV372" s="3"/>
      <c r="GW372" s="3"/>
      <c r="GX372" s="3">
        <v>0</v>
      </c>
    </row>
    <row r="374" spans="1:206" x14ac:dyDescent="0.2">
      <c r="A374" s="4">
        <v>50</v>
      </c>
      <c r="B374" s="4">
        <v>0</v>
      </c>
      <c r="C374" s="4">
        <v>0</v>
      </c>
      <c r="D374" s="4">
        <v>1</v>
      </c>
      <c r="E374" s="4">
        <v>201</v>
      </c>
      <c r="F374" s="4">
        <f>ROUND(Source!O372,O374)</f>
        <v>63713.38</v>
      </c>
      <c r="G374" s="4" t="s">
        <v>50</v>
      </c>
      <c r="H374" s="4" t="s">
        <v>51</v>
      </c>
      <c r="I374" s="4"/>
      <c r="J374" s="4"/>
      <c r="K374" s="4">
        <v>201</v>
      </c>
      <c r="L374" s="4">
        <v>1</v>
      </c>
      <c r="M374" s="4">
        <v>3</v>
      </c>
      <c r="N374" s="4" t="s">
        <v>3</v>
      </c>
      <c r="O374" s="4">
        <v>2</v>
      </c>
      <c r="P374" s="4"/>
      <c r="Q374" s="4"/>
      <c r="R374" s="4"/>
      <c r="S374" s="4"/>
      <c r="T374" s="4"/>
      <c r="U374" s="4"/>
      <c r="V374" s="4"/>
      <c r="W374" s="4"/>
    </row>
    <row r="375" spans="1:206" x14ac:dyDescent="0.2">
      <c r="A375" s="4">
        <v>50</v>
      </c>
      <c r="B375" s="4">
        <v>0</v>
      </c>
      <c r="C375" s="4">
        <v>0</v>
      </c>
      <c r="D375" s="4">
        <v>1</v>
      </c>
      <c r="E375" s="4">
        <v>202</v>
      </c>
      <c r="F375" s="4">
        <f>ROUND(Source!P372,O375)</f>
        <v>44522.31</v>
      </c>
      <c r="G375" s="4" t="s">
        <v>52</v>
      </c>
      <c r="H375" s="4" t="s">
        <v>53</v>
      </c>
      <c r="I375" s="4"/>
      <c r="J375" s="4"/>
      <c r="K375" s="4">
        <v>202</v>
      </c>
      <c r="L375" s="4">
        <v>2</v>
      </c>
      <c r="M375" s="4">
        <v>3</v>
      </c>
      <c r="N375" s="4" t="s">
        <v>3</v>
      </c>
      <c r="O375" s="4">
        <v>2</v>
      </c>
      <c r="P375" s="4"/>
      <c r="Q375" s="4"/>
      <c r="R375" s="4"/>
      <c r="S375" s="4"/>
      <c r="T375" s="4"/>
      <c r="U375" s="4"/>
      <c r="V375" s="4"/>
      <c r="W375" s="4"/>
    </row>
    <row r="376" spans="1:206" x14ac:dyDescent="0.2">
      <c r="A376" s="4">
        <v>50</v>
      </c>
      <c r="B376" s="4">
        <v>0</v>
      </c>
      <c r="C376" s="4">
        <v>0</v>
      </c>
      <c r="D376" s="4">
        <v>1</v>
      </c>
      <c r="E376" s="4">
        <v>222</v>
      </c>
      <c r="F376" s="4">
        <f>ROUND(Source!AO372,O376)</f>
        <v>0</v>
      </c>
      <c r="G376" s="4" t="s">
        <v>54</v>
      </c>
      <c r="H376" s="4" t="s">
        <v>55</v>
      </c>
      <c r="I376" s="4"/>
      <c r="J376" s="4"/>
      <c r="K376" s="4">
        <v>222</v>
      </c>
      <c r="L376" s="4">
        <v>3</v>
      </c>
      <c r="M376" s="4">
        <v>3</v>
      </c>
      <c r="N376" s="4" t="s">
        <v>3</v>
      </c>
      <c r="O376" s="4">
        <v>2</v>
      </c>
      <c r="P376" s="4"/>
      <c r="Q376" s="4"/>
      <c r="R376" s="4"/>
      <c r="S376" s="4"/>
      <c r="T376" s="4"/>
      <c r="U376" s="4"/>
      <c r="V376" s="4"/>
      <c r="W376" s="4"/>
    </row>
    <row r="377" spans="1:206" x14ac:dyDescent="0.2">
      <c r="A377" s="4">
        <v>50</v>
      </c>
      <c r="B377" s="4">
        <v>0</v>
      </c>
      <c r="C377" s="4">
        <v>0</v>
      </c>
      <c r="D377" s="4">
        <v>1</v>
      </c>
      <c r="E377" s="4">
        <v>225</v>
      </c>
      <c r="F377" s="4">
        <f>ROUND(Source!AV372,O377)</f>
        <v>44522.31</v>
      </c>
      <c r="G377" s="4" t="s">
        <v>56</v>
      </c>
      <c r="H377" s="4" t="s">
        <v>57</v>
      </c>
      <c r="I377" s="4"/>
      <c r="J377" s="4"/>
      <c r="K377" s="4">
        <v>225</v>
      </c>
      <c r="L377" s="4">
        <v>4</v>
      </c>
      <c r="M377" s="4">
        <v>3</v>
      </c>
      <c r="N377" s="4" t="s">
        <v>3</v>
      </c>
      <c r="O377" s="4">
        <v>2</v>
      </c>
      <c r="P377" s="4"/>
      <c r="Q377" s="4"/>
      <c r="R377" s="4"/>
      <c r="S377" s="4"/>
      <c r="T377" s="4"/>
      <c r="U377" s="4"/>
      <c r="V377" s="4"/>
      <c r="W377" s="4"/>
    </row>
    <row r="378" spans="1:206" x14ac:dyDescent="0.2">
      <c r="A378" s="4">
        <v>50</v>
      </c>
      <c r="B378" s="4">
        <v>0</v>
      </c>
      <c r="C378" s="4">
        <v>0</v>
      </c>
      <c r="D378" s="4">
        <v>1</v>
      </c>
      <c r="E378" s="4">
        <v>226</v>
      </c>
      <c r="F378" s="4">
        <f>ROUND(Source!AW372,O378)</f>
        <v>44522.31</v>
      </c>
      <c r="G378" s="4" t="s">
        <v>58</v>
      </c>
      <c r="H378" s="4" t="s">
        <v>59</v>
      </c>
      <c r="I378" s="4"/>
      <c r="J378" s="4"/>
      <c r="K378" s="4">
        <v>226</v>
      </c>
      <c r="L378" s="4">
        <v>5</v>
      </c>
      <c r="M378" s="4">
        <v>3</v>
      </c>
      <c r="N378" s="4" t="s">
        <v>3</v>
      </c>
      <c r="O378" s="4">
        <v>2</v>
      </c>
      <c r="P378" s="4"/>
      <c r="Q378" s="4"/>
      <c r="R378" s="4"/>
      <c r="S378" s="4"/>
      <c r="T378" s="4"/>
      <c r="U378" s="4"/>
      <c r="V378" s="4"/>
      <c r="W378" s="4"/>
    </row>
    <row r="379" spans="1:206" x14ac:dyDescent="0.2">
      <c r="A379" s="4">
        <v>50</v>
      </c>
      <c r="B379" s="4">
        <v>0</v>
      </c>
      <c r="C379" s="4">
        <v>0</v>
      </c>
      <c r="D379" s="4">
        <v>1</v>
      </c>
      <c r="E379" s="4">
        <v>227</v>
      </c>
      <c r="F379" s="4">
        <f>ROUND(Source!AX372,O379)</f>
        <v>0</v>
      </c>
      <c r="G379" s="4" t="s">
        <v>60</v>
      </c>
      <c r="H379" s="4" t="s">
        <v>61</v>
      </c>
      <c r="I379" s="4"/>
      <c r="J379" s="4"/>
      <c r="K379" s="4">
        <v>227</v>
      </c>
      <c r="L379" s="4">
        <v>6</v>
      </c>
      <c r="M379" s="4">
        <v>3</v>
      </c>
      <c r="N379" s="4" t="s">
        <v>3</v>
      </c>
      <c r="O379" s="4">
        <v>2</v>
      </c>
      <c r="P379" s="4"/>
      <c r="Q379" s="4"/>
      <c r="R379" s="4"/>
      <c r="S379" s="4"/>
      <c r="T379" s="4"/>
      <c r="U379" s="4"/>
      <c r="V379" s="4"/>
      <c r="W379" s="4"/>
    </row>
    <row r="380" spans="1:206" x14ac:dyDescent="0.2">
      <c r="A380" s="4">
        <v>50</v>
      </c>
      <c r="B380" s="4">
        <v>0</v>
      </c>
      <c r="C380" s="4">
        <v>0</v>
      </c>
      <c r="D380" s="4">
        <v>1</v>
      </c>
      <c r="E380" s="4">
        <v>228</v>
      </c>
      <c r="F380" s="4">
        <f>ROUND(Source!AY372,O380)</f>
        <v>44522.31</v>
      </c>
      <c r="G380" s="4" t="s">
        <v>62</v>
      </c>
      <c r="H380" s="4" t="s">
        <v>63</v>
      </c>
      <c r="I380" s="4"/>
      <c r="J380" s="4"/>
      <c r="K380" s="4">
        <v>228</v>
      </c>
      <c r="L380" s="4">
        <v>7</v>
      </c>
      <c r="M380" s="4">
        <v>3</v>
      </c>
      <c r="N380" s="4" t="s">
        <v>3</v>
      </c>
      <c r="O380" s="4">
        <v>2</v>
      </c>
      <c r="P380" s="4"/>
      <c r="Q380" s="4"/>
      <c r="R380" s="4"/>
      <c r="S380" s="4"/>
      <c r="T380" s="4"/>
      <c r="U380" s="4"/>
      <c r="V380" s="4"/>
      <c r="W380" s="4"/>
    </row>
    <row r="381" spans="1:206" x14ac:dyDescent="0.2">
      <c r="A381" s="4">
        <v>50</v>
      </c>
      <c r="B381" s="4">
        <v>0</v>
      </c>
      <c r="C381" s="4">
        <v>0</v>
      </c>
      <c r="D381" s="4">
        <v>1</v>
      </c>
      <c r="E381" s="4">
        <v>216</v>
      </c>
      <c r="F381" s="4">
        <f>ROUND(Source!AP372,O381)</f>
        <v>0</v>
      </c>
      <c r="G381" s="4" t="s">
        <v>64</v>
      </c>
      <c r="H381" s="4" t="s">
        <v>65</v>
      </c>
      <c r="I381" s="4"/>
      <c r="J381" s="4"/>
      <c r="K381" s="4">
        <v>216</v>
      </c>
      <c r="L381" s="4">
        <v>8</v>
      </c>
      <c r="M381" s="4">
        <v>3</v>
      </c>
      <c r="N381" s="4" t="s">
        <v>3</v>
      </c>
      <c r="O381" s="4">
        <v>2</v>
      </c>
      <c r="P381" s="4"/>
      <c r="Q381" s="4"/>
      <c r="R381" s="4"/>
      <c r="S381" s="4"/>
      <c r="T381" s="4"/>
      <c r="U381" s="4"/>
      <c r="V381" s="4"/>
      <c r="W381" s="4"/>
    </row>
    <row r="382" spans="1:206" x14ac:dyDescent="0.2">
      <c r="A382" s="4">
        <v>50</v>
      </c>
      <c r="B382" s="4">
        <v>0</v>
      </c>
      <c r="C382" s="4">
        <v>0</v>
      </c>
      <c r="D382" s="4">
        <v>1</v>
      </c>
      <c r="E382" s="4">
        <v>223</v>
      </c>
      <c r="F382" s="4">
        <f>ROUND(Source!AQ372,O382)</f>
        <v>0</v>
      </c>
      <c r="G382" s="4" t="s">
        <v>66</v>
      </c>
      <c r="H382" s="4" t="s">
        <v>67</v>
      </c>
      <c r="I382" s="4"/>
      <c r="J382" s="4"/>
      <c r="K382" s="4">
        <v>223</v>
      </c>
      <c r="L382" s="4">
        <v>9</v>
      </c>
      <c r="M382" s="4">
        <v>3</v>
      </c>
      <c r="N382" s="4" t="s">
        <v>3</v>
      </c>
      <c r="O382" s="4">
        <v>2</v>
      </c>
      <c r="P382" s="4"/>
      <c r="Q382" s="4"/>
      <c r="R382" s="4"/>
      <c r="S382" s="4"/>
      <c r="T382" s="4"/>
      <c r="U382" s="4"/>
      <c r="V382" s="4"/>
      <c r="W382" s="4"/>
    </row>
    <row r="383" spans="1:206" x14ac:dyDescent="0.2">
      <c r="A383" s="4">
        <v>50</v>
      </c>
      <c r="B383" s="4">
        <v>0</v>
      </c>
      <c r="C383" s="4">
        <v>0</v>
      </c>
      <c r="D383" s="4">
        <v>1</v>
      </c>
      <c r="E383" s="4">
        <v>229</v>
      </c>
      <c r="F383" s="4">
        <f>ROUND(Source!AZ372,O383)</f>
        <v>0</v>
      </c>
      <c r="G383" s="4" t="s">
        <v>68</v>
      </c>
      <c r="H383" s="4" t="s">
        <v>69</v>
      </c>
      <c r="I383" s="4"/>
      <c r="J383" s="4"/>
      <c r="K383" s="4">
        <v>229</v>
      </c>
      <c r="L383" s="4">
        <v>10</v>
      </c>
      <c r="M383" s="4">
        <v>3</v>
      </c>
      <c r="N383" s="4" t="s">
        <v>3</v>
      </c>
      <c r="O383" s="4">
        <v>2</v>
      </c>
      <c r="P383" s="4"/>
      <c r="Q383" s="4"/>
      <c r="R383" s="4"/>
      <c r="S383" s="4"/>
      <c r="T383" s="4"/>
      <c r="U383" s="4"/>
      <c r="V383" s="4"/>
      <c r="W383" s="4"/>
    </row>
    <row r="384" spans="1:206" x14ac:dyDescent="0.2">
      <c r="A384" s="4">
        <v>50</v>
      </c>
      <c r="B384" s="4">
        <v>0</v>
      </c>
      <c r="C384" s="4">
        <v>0</v>
      </c>
      <c r="D384" s="4">
        <v>1</v>
      </c>
      <c r="E384" s="4">
        <v>203</v>
      </c>
      <c r="F384" s="4">
        <f>ROUND(Source!Q372,O384)</f>
        <v>2739.28</v>
      </c>
      <c r="G384" s="4" t="s">
        <v>70</v>
      </c>
      <c r="H384" s="4" t="s">
        <v>71</v>
      </c>
      <c r="I384" s="4"/>
      <c r="J384" s="4"/>
      <c r="K384" s="4">
        <v>203</v>
      </c>
      <c r="L384" s="4">
        <v>11</v>
      </c>
      <c r="M384" s="4">
        <v>3</v>
      </c>
      <c r="N384" s="4" t="s">
        <v>3</v>
      </c>
      <c r="O384" s="4">
        <v>2</v>
      </c>
      <c r="P384" s="4"/>
      <c r="Q384" s="4"/>
      <c r="R384" s="4"/>
      <c r="S384" s="4"/>
      <c r="T384" s="4"/>
      <c r="U384" s="4"/>
      <c r="V384" s="4"/>
      <c r="W384" s="4"/>
    </row>
    <row r="385" spans="1:23" x14ac:dyDescent="0.2">
      <c r="A385" s="4">
        <v>50</v>
      </c>
      <c r="B385" s="4">
        <v>0</v>
      </c>
      <c r="C385" s="4">
        <v>0</v>
      </c>
      <c r="D385" s="4">
        <v>1</v>
      </c>
      <c r="E385" s="4">
        <v>231</v>
      </c>
      <c r="F385" s="4">
        <f>ROUND(Source!BB372,O385)</f>
        <v>0</v>
      </c>
      <c r="G385" s="4" t="s">
        <v>72</v>
      </c>
      <c r="H385" s="4" t="s">
        <v>73</v>
      </c>
      <c r="I385" s="4"/>
      <c r="J385" s="4"/>
      <c r="K385" s="4">
        <v>231</v>
      </c>
      <c r="L385" s="4">
        <v>12</v>
      </c>
      <c r="M385" s="4">
        <v>3</v>
      </c>
      <c r="N385" s="4" t="s">
        <v>3</v>
      </c>
      <c r="O385" s="4">
        <v>2</v>
      </c>
      <c r="P385" s="4"/>
      <c r="Q385" s="4"/>
      <c r="R385" s="4"/>
      <c r="S385" s="4"/>
      <c r="T385" s="4"/>
      <c r="U385" s="4"/>
      <c r="V385" s="4"/>
      <c r="W385" s="4"/>
    </row>
    <row r="386" spans="1:23" x14ac:dyDescent="0.2">
      <c r="A386" s="4">
        <v>50</v>
      </c>
      <c r="B386" s="4">
        <v>0</v>
      </c>
      <c r="C386" s="4">
        <v>0</v>
      </c>
      <c r="D386" s="4">
        <v>1</v>
      </c>
      <c r="E386" s="4">
        <v>204</v>
      </c>
      <c r="F386" s="4">
        <f>ROUND(Source!R372,O386)</f>
        <v>1854.26</v>
      </c>
      <c r="G386" s="4" t="s">
        <v>74</v>
      </c>
      <c r="H386" s="4" t="s">
        <v>75</v>
      </c>
      <c r="I386" s="4"/>
      <c r="J386" s="4"/>
      <c r="K386" s="4">
        <v>204</v>
      </c>
      <c r="L386" s="4">
        <v>13</v>
      </c>
      <c r="M386" s="4">
        <v>3</v>
      </c>
      <c r="N386" s="4" t="s">
        <v>3</v>
      </c>
      <c r="O386" s="4">
        <v>2</v>
      </c>
      <c r="P386" s="4"/>
      <c r="Q386" s="4"/>
      <c r="R386" s="4"/>
      <c r="S386" s="4"/>
      <c r="T386" s="4"/>
      <c r="U386" s="4"/>
      <c r="V386" s="4"/>
      <c r="W386" s="4"/>
    </row>
    <row r="387" spans="1:23" x14ac:dyDescent="0.2">
      <c r="A387" s="4">
        <v>50</v>
      </c>
      <c r="B387" s="4">
        <v>0</v>
      </c>
      <c r="C387" s="4">
        <v>0</v>
      </c>
      <c r="D387" s="4">
        <v>1</v>
      </c>
      <c r="E387" s="4">
        <v>205</v>
      </c>
      <c r="F387" s="4">
        <f>ROUND(Source!S372,O387)</f>
        <v>16451.79</v>
      </c>
      <c r="G387" s="4" t="s">
        <v>76</v>
      </c>
      <c r="H387" s="4" t="s">
        <v>77</v>
      </c>
      <c r="I387" s="4"/>
      <c r="J387" s="4"/>
      <c r="K387" s="4">
        <v>205</v>
      </c>
      <c r="L387" s="4">
        <v>14</v>
      </c>
      <c r="M387" s="4">
        <v>3</v>
      </c>
      <c r="N387" s="4" t="s">
        <v>3</v>
      </c>
      <c r="O387" s="4">
        <v>2</v>
      </c>
      <c r="P387" s="4"/>
      <c r="Q387" s="4"/>
      <c r="R387" s="4"/>
      <c r="S387" s="4"/>
      <c r="T387" s="4"/>
      <c r="U387" s="4"/>
      <c r="V387" s="4"/>
      <c r="W387" s="4"/>
    </row>
    <row r="388" spans="1:23" x14ac:dyDescent="0.2">
      <c r="A388" s="4">
        <v>50</v>
      </c>
      <c r="B388" s="4">
        <v>0</v>
      </c>
      <c r="C388" s="4">
        <v>0</v>
      </c>
      <c r="D388" s="4">
        <v>1</v>
      </c>
      <c r="E388" s="4">
        <v>232</v>
      </c>
      <c r="F388" s="4">
        <f>ROUND(Source!BC372,O388)</f>
        <v>0</v>
      </c>
      <c r="G388" s="4" t="s">
        <v>78</v>
      </c>
      <c r="H388" s="4" t="s">
        <v>79</v>
      </c>
      <c r="I388" s="4"/>
      <c r="J388" s="4"/>
      <c r="K388" s="4">
        <v>232</v>
      </c>
      <c r="L388" s="4">
        <v>15</v>
      </c>
      <c r="M388" s="4">
        <v>3</v>
      </c>
      <c r="N388" s="4" t="s">
        <v>3</v>
      </c>
      <c r="O388" s="4">
        <v>2</v>
      </c>
      <c r="P388" s="4"/>
      <c r="Q388" s="4"/>
      <c r="R388" s="4"/>
      <c r="S388" s="4"/>
      <c r="T388" s="4"/>
      <c r="U388" s="4"/>
      <c r="V388" s="4"/>
      <c r="W388" s="4"/>
    </row>
    <row r="389" spans="1:23" x14ac:dyDescent="0.2">
      <c r="A389" s="4">
        <v>50</v>
      </c>
      <c r="B389" s="4">
        <v>0</v>
      </c>
      <c r="C389" s="4">
        <v>0</v>
      </c>
      <c r="D389" s="4">
        <v>1</v>
      </c>
      <c r="E389" s="4">
        <v>214</v>
      </c>
      <c r="F389" s="4">
        <f>ROUND(Source!AS372,O389)</f>
        <v>0</v>
      </c>
      <c r="G389" s="4" t="s">
        <v>80</v>
      </c>
      <c r="H389" s="4" t="s">
        <v>81</v>
      </c>
      <c r="I389" s="4"/>
      <c r="J389" s="4"/>
      <c r="K389" s="4">
        <v>214</v>
      </c>
      <c r="L389" s="4">
        <v>16</v>
      </c>
      <c r="M389" s="4">
        <v>3</v>
      </c>
      <c r="N389" s="4" t="s">
        <v>3</v>
      </c>
      <c r="O389" s="4">
        <v>2</v>
      </c>
      <c r="P389" s="4"/>
      <c r="Q389" s="4"/>
      <c r="R389" s="4"/>
      <c r="S389" s="4"/>
      <c r="T389" s="4"/>
      <c r="U389" s="4"/>
      <c r="V389" s="4"/>
      <c r="W389" s="4"/>
    </row>
    <row r="390" spans="1:23" x14ac:dyDescent="0.2">
      <c r="A390" s="4">
        <v>50</v>
      </c>
      <c r="B390" s="4">
        <v>0</v>
      </c>
      <c r="C390" s="4">
        <v>0</v>
      </c>
      <c r="D390" s="4">
        <v>1</v>
      </c>
      <c r="E390" s="4">
        <v>215</v>
      </c>
      <c r="F390" s="4">
        <f>ROUND(Source!AT372,O390)</f>
        <v>0</v>
      </c>
      <c r="G390" s="4" t="s">
        <v>82</v>
      </c>
      <c r="H390" s="4" t="s">
        <v>83</v>
      </c>
      <c r="I390" s="4"/>
      <c r="J390" s="4"/>
      <c r="K390" s="4">
        <v>215</v>
      </c>
      <c r="L390" s="4">
        <v>17</v>
      </c>
      <c r="M390" s="4">
        <v>3</v>
      </c>
      <c r="N390" s="4" t="s">
        <v>3</v>
      </c>
      <c r="O390" s="4">
        <v>2</v>
      </c>
      <c r="P390" s="4"/>
      <c r="Q390" s="4"/>
      <c r="R390" s="4"/>
      <c r="S390" s="4"/>
      <c r="T390" s="4"/>
      <c r="U390" s="4"/>
      <c r="V390" s="4"/>
      <c r="W390" s="4"/>
    </row>
    <row r="391" spans="1:23" x14ac:dyDescent="0.2">
      <c r="A391" s="4">
        <v>50</v>
      </c>
      <c r="B391" s="4">
        <v>0</v>
      </c>
      <c r="C391" s="4">
        <v>0</v>
      </c>
      <c r="D391" s="4">
        <v>1</v>
      </c>
      <c r="E391" s="4">
        <v>217</v>
      </c>
      <c r="F391" s="4">
        <f>ROUND(Source!AU372,O391)</f>
        <v>78877.42</v>
      </c>
      <c r="G391" s="4" t="s">
        <v>84</v>
      </c>
      <c r="H391" s="4" t="s">
        <v>85</v>
      </c>
      <c r="I391" s="4"/>
      <c r="J391" s="4"/>
      <c r="K391" s="4">
        <v>217</v>
      </c>
      <c r="L391" s="4">
        <v>18</v>
      </c>
      <c r="M391" s="4">
        <v>3</v>
      </c>
      <c r="N391" s="4" t="s">
        <v>3</v>
      </c>
      <c r="O391" s="4">
        <v>2</v>
      </c>
      <c r="P391" s="4"/>
      <c r="Q391" s="4"/>
      <c r="R391" s="4"/>
      <c r="S391" s="4"/>
      <c r="T391" s="4"/>
      <c r="U391" s="4"/>
      <c r="V391" s="4"/>
      <c r="W391" s="4"/>
    </row>
    <row r="392" spans="1:23" x14ac:dyDescent="0.2">
      <c r="A392" s="4">
        <v>50</v>
      </c>
      <c r="B392" s="4">
        <v>0</v>
      </c>
      <c r="C392" s="4">
        <v>0</v>
      </c>
      <c r="D392" s="4">
        <v>1</v>
      </c>
      <c r="E392" s="4">
        <v>230</v>
      </c>
      <c r="F392" s="4">
        <f>ROUND(Source!BA372,O392)</f>
        <v>0</v>
      </c>
      <c r="G392" s="4" t="s">
        <v>86</v>
      </c>
      <c r="H392" s="4" t="s">
        <v>87</v>
      </c>
      <c r="I392" s="4"/>
      <c r="J392" s="4"/>
      <c r="K392" s="4">
        <v>230</v>
      </c>
      <c r="L392" s="4">
        <v>19</v>
      </c>
      <c r="M392" s="4">
        <v>3</v>
      </c>
      <c r="N392" s="4" t="s">
        <v>3</v>
      </c>
      <c r="O392" s="4">
        <v>2</v>
      </c>
      <c r="P392" s="4"/>
      <c r="Q392" s="4"/>
      <c r="R392" s="4"/>
      <c r="S392" s="4"/>
      <c r="T392" s="4"/>
      <c r="U392" s="4"/>
      <c r="V392" s="4"/>
      <c r="W392" s="4"/>
    </row>
    <row r="393" spans="1:23" x14ac:dyDescent="0.2">
      <c r="A393" s="4">
        <v>50</v>
      </c>
      <c r="B393" s="4">
        <v>0</v>
      </c>
      <c r="C393" s="4">
        <v>0</v>
      </c>
      <c r="D393" s="4">
        <v>1</v>
      </c>
      <c r="E393" s="4">
        <v>206</v>
      </c>
      <c r="F393" s="4">
        <f>ROUND(Source!T372,O393)</f>
        <v>0</v>
      </c>
      <c r="G393" s="4" t="s">
        <v>88</v>
      </c>
      <c r="H393" s="4" t="s">
        <v>89</v>
      </c>
      <c r="I393" s="4"/>
      <c r="J393" s="4"/>
      <c r="K393" s="4">
        <v>206</v>
      </c>
      <c r="L393" s="4">
        <v>20</v>
      </c>
      <c r="M393" s="4">
        <v>3</v>
      </c>
      <c r="N393" s="4" t="s">
        <v>3</v>
      </c>
      <c r="O393" s="4">
        <v>2</v>
      </c>
      <c r="P393" s="4"/>
      <c r="Q393" s="4"/>
      <c r="R393" s="4"/>
      <c r="S393" s="4"/>
      <c r="T393" s="4"/>
      <c r="U393" s="4"/>
      <c r="V393" s="4"/>
      <c r="W393" s="4"/>
    </row>
    <row r="394" spans="1:23" x14ac:dyDescent="0.2">
      <c r="A394" s="4">
        <v>50</v>
      </c>
      <c r="B394" s="4">
        <v>0</v>
      </c>
      <c r="C394" s="4">
        <v>0</v>
      </c>
      <c r="D394" s="4">
        <v>1</v>
      </c>
      <c r="E394" s="4">
        <v>207</v>
      </c>
      <c r="F394" s="4">
        <f>Source!U372</f>
        <v>79.35575</v>
      </c>
      <c r="G394" s="4" t="s">
        <v>90</v>
      </c>
      <c r="H394" s="4" t="s">
        <v>91</v>
      </c>
      <c r="I394" s="4"/>
      <c r="J394" s="4"/>
      <c r="K394" s="4">
        <v>207</v>
      </c>
      <c r="L394" s="4">
        <v>21</v>
      </c>
      <c r="M394" s="4">
        <v>3</v>
      </c>
      <c r="N394" s="4" t="s">
        <v>3</v>
      </c>
      <c r="O394" s="4">
        <v>-1</v>
      </c>
      <c r="P394" s="4"/>
      <c r="Q394" s="4"/>
      <c r="R394" s="4"/>
      <c r="S394" s="4"/>
      <c r="T394" s="4"/>
      <c r="U394" s="4"/>
      <c r="V394" s="4"/>
      <c r="W394" s="4"/>
    </row>
    <row r="395" spans="1:23" x14ac:dyDescent="0.2">
      <c r="A395" s="4">
        <v>50</v>
      </c>
      <c r="B395" s="4">
        <v>0</v>
      </c>
      <c r="C395" s="4">
        <v>0</v>
      </c>
      <c r="D395" s="4">
        <v>1</v>
      </c>
      <c r="E395" s="4">
        <v>208</v>
      </c>
      <c r="F395" s="4">
        <f>Source!V372</f>
        <v>0</v>
      </c>
      <c r="G395" s="4" t="s">
        <v>92</v>
      </c>
      <c r="H395" s="4" t="s">
        <v>93</v>
      </c>
      <c r="I395" s="4"/>
      <c r="J395" s="4"/>
      <c r="K395" s="4">
        <v>208</v>
      </c>
      <c r="L395" s="4">
        <v>22</v>
      </c>
      <c r="M395" s="4">
        <v>3</v>
      </c>
      <c r="N395" s="4" t="s">
        <v>3</v>
      </c>
      <c r="O395" s="4">
        <v>-1</v>
      </c>
      <c r="P395" s="4"/>
      <c r="Q395" s="4"/>
      <c r="R395" s="4"/>
      <c r="S395" s="4"/>
      <c r="T395" s="4"/>
      <c r="U395" s="4"/>
      <c r="V395" s="4"/>
      <c r="W395" s="4"/>
    </row>
    <row r="396" spans="1:23" x14ac:dyDescent="0.2">
      <c r="A396" s="4">
        <v>50</v>
      </c>
      <c r="B396" s="4">
        <v>0</v>
      </c>
      <c r="C396" s="4">
        <v>0</v>
      </c>
      <c r="D396" s="4">
        <v>1</v>
      </c>
      <c r="E396" s="4">
        <v>209</v>
      </c>
      <c r="F396" s="4">
        <f>ROUND(Source!W372,O396)</f>
        <v>0</v>
      </c>
      <c r="G396" s="4" t="s">
        <v>94</v>
      </c>
      <c r="H396" s="4" t="s">
        <v>95</v>
      </c>
      <c r="I396" s="4"/>
      <c r="J396" s="4"/>
      <c r="K396" s="4">
        <v>209</v>
      </c>
      <c r="L396" s="4">
        <v>23</v>
      </c>
      <c r="M396" s="4">
        <v>3</v>
      </c>
      <c r="N396" s="4" t="s">
        <v>3</v>
      </c>
      <c r="O396" s="4">
        <v>2</v>
      </c>
      <c r="P396" s="4"/>
      <c r="Q396" s="4"/>
      <c r="R396" s="4"/>
      <c r="S396" s="4"/>
      <c r="T396" s="4"/>
      <c r="U396" s="4"/>
      <c r="V396" s="4"/>
      <c r="W396" s="4"/>
    </row>
    <row r="397" spans="1:23" x14ac:dyDescent="0.2">
      <c r="A397" s="4">
        <v>50</v>
      </c>
      <c r="B397" s="4">
        <v>0</v>
      </c>
      <c r="C397" s="4">
        <v>0</v>
      </c>
      <c r="D397" s="4">
        <v>1</v>
      </c>
      <c r="E397" s="4">
        <v>233</v>
      </c>
      <c r="F397" s="4">
        <f>ROUND(Source!BD372,O397)</f>
        <v>0</v>
      </c>
      <c r="G397" s="4" t="s">
        <v>96</v>
      </c>
      <c r="H397" s="4" t="s">
        <v>97</v>
      </c>
      <c r="I397" s="4"/>
      <c r="J397" s="4"/>
      <c r="K397" s="4">
        <v>233</v>
      </c>
      <c r="L397" s="4">
        <v>24</v>
      </c>
      <c r="M397" s="4">
        <v>3</v>
      </c>
      <c r="N397" s="4" t="s">
        <v>3</v>
      </c>
      <c r="O397" s="4">
        <v>2</v>
      </c>
      <c r="P397" s="4"/>
      <c r="Q397" s="4"/>
      <c r="R397" s="4"/>
      <c r="S397" s="4"/>
      <c r="T397" s="4"/>
      <c r="U397" s="4"/>
      <c r="V397" s="4"/>
      <c r="W397" s="4"/>
    </row>
    <row r="398" spans="1:23" x14ac:dyDescent="0.2">
      <c r="A398" s="4">
        <v>50</v>
      </c>
      <c r="B398" s="4">
        <v>0</v>
      </c>
      <c r="C398" s="4">
        <v>0</v>
      </c>
      <c r="D398" s="4">
        <v>1</v>
      </c>
      <c r="E398" s="4">
        <v>210</v>
      </c>
      <c r="F398" s="4">
        <f>ROUND(Source!X372,O398)</f>
        <v>11516.25</v>
      </c>
      <c r="G398" s="4" t="s">
        <v>98</v>
      </c>
      <c r="H398" s="4" t="s">
        <v>99</v>
      </c>
      <c r="I398" s="4"/>
      <c r="J398" s="4"/>
      <c r="K398" s="4">
        <v>210</v>
      </c>
      <c r="L398" s="4">
        <v>25</v>
      </c>
      <c r="M398" s="4">
        <v>3</v>
      </c>
      <c r="N398" s="4" t="s">
        <v>3</v>
      </c>
      <c r="O398" s="4">
        <v>2</v>
      </c>
      <c r="P398" s="4"/>
      <c r="Q398" s="4"/>
      <c r="R398" s="4"/>
      <c r="S398" s="4"/>
      <c r="T398" s="4"/>
      <c r="U398" s="4"/>
      <c r="V398" s="4"/>
      <c r="W398" s="4"/>
    </row>
    <row r="399" spans="1:23" x14ac:dyDescent="0.2">
      <c r="A399" s="4">
        <v>50</v>
      </c>
      <c r="B399" s="4">
        <v>0</v>
      </c>
      <c r="C399" s="4">
        <v>0</v>
      </c>
      <c r="D399" s="4">
        <v>1</v>
      </c>
      <c r="E399" s="4">
        <v>211</v>
      </c>
      <c r="F399" s="4">
        <f>ROUND(Source!Y372,O399)</f>
        <v>1645.19</v>
      </c>
      <c r="G399" s="4" t="s">
        <v>100</v>
      </c>
      <c r="H399" s="4" t="s">
        <v>101</v>
      </c>
      <c r="I399" s="4"/>
      <c r="J399" s="4"/>
      <c r="K399" s="4">
        <v>211</v>
      </c>
      <c r="L399" s="4">
        <v>26</v>
      </c>
      <c r="M399" s="4">
        <v>3</v>
      </c>
      <c r="N399" s="4" t="s">
        <v>3</v>
      </c>
      <c r="O399" s="4">
        <v>2</v>
      </c>
      <c r="P399" s="4"/>
      <c r="Q399" s="4"/>
      <c r="R399" s="4"/>
      <c r="S399" s="4"/>
      <c r="T399" s="4"/>
      <c r="U399" s="4"/>
      <c r="V399" s="4"/>
      <c r="W399" s="4"/>
    </row>
    <row r="400" spans="1:23" x14ac:dyDescent="0.2">
      <c r="A400" s="4">
        <v>50</v>
      </c>
      <c r="B400" s="4">
        <v>0</v>
      </c>
      <c r="C400" s="4">
        <v>0</v>
      </c>
      <c r="D400" s="4">
        <v>1</v>
      </c>
      <c r="E400" s="4">
        <v>224</v>
      </c>
      <c r="F400" s="4">
        <f>ROUND(Source!AR372,O400)</f>
        <v>78877.42</v>
      </c>
      <c r="G400" s="4" t="s">
        <v>102</v>
      </c>
      <c r="H400" s="4" t="s">
        <v>103</v>
      </c>
      <c r="I400" s="4"/>
      <c r="J400" s="4"/>
      <c r="K400" s="4">
        <v>224</v>
      </c>
      <c r="L400" s="4">
        <v>27</v>
      </c>
      <c r="M400" s="4">
        <v>3</v>
      </c>
      <c r="N400" s="4" t="s">
        <v>3</v>
      </c>
      <c r="O400" s="4">
        <v>2</v>
      </c>
      <c r="P400" s="4"/>
      <c r="Q400" s="4"/>
      <c r="R400" s="4"/>
      <c r="S400" s="4"/>
      <c r="T400" s="4"/>
      <c r="U400" s="4"/>
      <c r="V400" s="4"/>
      <c r="W400" s="4"/>
    </row>
    <row r="402" spans="1:245" x14ac:dyDescent="0.2">
      <c r="A402" s="1">
        <v>4</v>
      </c>
      <c r="B402" s="1">
        <v>1</v>
      </c>
      <c r="C402" s="1"/>
      <c r="D402" s="1">
        <f>ROW(A449)</f>
        <v>449</v>
      </c>
      <c r="E402" s="1"/>
      <c r="F402" s="1" t="s">
        <v>12</v>
      </c>
      <c r="G402" s="1" t="s">
        <v>275</v>
      </c>
      <c r="H402" s="1" t="s">
        <v>3</v>
      </c>
      <c r="I402" s="1">
        <v>0</v>
      </c>
      <c r="J402" s="1"/>
      <c r="K402" s="1">
        <v>0</v>
      </c>
      <c r="L402" s="1"/>
      <c r="M402" s="1"/>
      <c r="N402" s="1"/>
      <c r="O402" s="1"/>
      <c r="P402" s="1"/>
      <c r="Q402" s="1"/>
      <c r="R402" s="1"/>
      <c r="S402" s="1"/>
      <c r="T402" s="1"/>
      <c r="U402" s="1" t="s">
        <v>3</v>
      </c>
      <c r="V402" s="1">
        <v>0</v>
      </c>
      <c r="W402" s="1"/>
      <c r="X402" s="1"/>
      <c r="Y402" s="1"/>
      <c r="Z402" s="1"/>
      <c r="AA402" s="1"/>
      <c r="AB402" s="1" t="s">
        <v>3</v>
      </c>
      <c r="AC402" s="1" t="s">
        <v>3</v>
      </c>
      <c r="AD402" s="1" t="s">
        <v>3</v>
      </c>
      <c r="AE402" s="1" t="s">
        <v>3</v>
      </c>
      <c r="AF402" s="1" t="s">
        <v>3</v>
      </c>
      <c r="AG402" s="1" t="s">
        <v>3</v>
      </c>
      <c r="AH402" s="1"/>
      <c r="AI402" s="1"/>
      <c r="AJ402" s="1"/>
      <c r="AK402" s="1"/>
      <c r="AL402" s="1"/>
      <c r="AM402" s="1"/>
      <c r="AN402" s="1"/>
      <c r="AO402" s="1"/>
      <c r="AP402" s="1" t="s">
        <v>3</v>
      </c>
      <c r="AQ402" s="1" t="s">
        <v>3</v>
      </c>
      <c r="AR402" s="1" t="s">
        <v>3</v>
      </c>
      <c r="AS402" s="1"/>
      <c r="AT402" s="1"/>
      <c r="AU402" s="1"/>
      <c r="AV402" s="1"/>
      <c r="AW402" s="1"/>
      <c r="AX402" s="1"/>
      <c r="AY402" s="1"/>
      <c r="AZ402" s="1" t="s">
        <v>3</v>
      </c>
      <c r="BA402" s="1"/>
      <c r="BB402" s="1" t="s">
        <v>3</v>
      </c>
      <c r="BC402" s="1" t="s">
        <v>3</v>
      </c>
      <c r="BD402" s="1" t="s">
        <v>3</v>
      </c>
      <c r="BE402" s="1" t="s">
        <v>3</v>
      </c>
      <c r="BF402" s="1" t="s">
        <v>3</v>
      </c>
      <c r="BG402" s="1" t="s">
        <v>3</v>
      </c>
      <c r="BH402" s="1" t="s">
        <v>3</v>
      </c>
      <c r="BI402" s="1" t="s">
        <v>3</v>
      </c>
      <c r="BJ402" s="1" t="s">
        <v>3</v>
      </c>
      <c r="BK402" s="1" t="s">
        <v>3</v>
      </c>
      <c r="BL402" s="1" t="s">
        <v>3</v>
      </c>
      <c r="BM402" s="1" t="s">
        <v>3</v>
      </c>
      <c r="BN402" s="1" t="s">
        <v>3</v>
      </c>
      <c r="BO402" s="1" t="s">
        <v>3</v>
      </c>
      <c r="BP402" s="1" t="s">
        <v>3</v>
      </c>
      <c r="BQ402" s="1"/>
      <c r="BR402" s="1"/>
      <c r="BS402" s="1"/>
      <c r="BT402" s="1"/>
      <c r="BU402" s="1"/>
      <c r="BV402" s="1"/>
      <c r="BW402" s="1"/>
      <c r="BX402" s="1">
        <v>0</v>
      </c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>
        <v>0</v>
      </c>
    </row>
    <row r="404" spans="1:245" x14ac:dyDescent="0.2">
      <c r="A404" s="2">
        <v>52</v>
      </c>
      <c r="B404" s="2">
        <f t="shared" ref="B404:G404" si="187">B449</f>
        <v>1</v>
      </c>
      <c r="C404" s="2">
        <f t="shared" si="187"/>
        <v>4</v>
      </c>
      <c r="D404" s="2">
        <f t="shared" si="187"/>
        <v>402</v>
      </c>
      <c r="E404" s="2">
        <f t="shared" si="187"/>
        <v>0</v>
      </c>
      <c r="F404" s="2" t="str">
        <f t="shared" si="187"/>
        <v>Новый раздел</v>
      </c>
      <c r="G404" s="2" t="str">
        <f t="shared" si="187"/>
        <v>Дорожки до веранд</v>
      </c>
      <c r="H404" s="2"/>
      <c r="I404" s="2"/>
      <c r="J404" s="2"/>
      <c r="K404" s="2"/>
      <c r="L404" s="2"/>
      <c r="M404" s="2"/>
      <c r="N404" s="2"/>
      <c r="O404" s="2">
        <f t="shared" ref="O404:AT404" si="188">O449</f>
        <v>93861.67</v>
      </c>
      <c r="P404" s="2">
        <f t="shared" si="188"/>
        <v>47759.27</v>
      </c>
      <c r="Q404" s="2">
        <f t="shared" si="188"/>
        <v>11689.91</v>
      </c>
      <c r="R404" s="2">
        <f t="shared" si="188"/>
        <v>6680.43</v>
      </c>
      <c r="S404" s="2">
        <f t="shared" si="188"/>
        <v>34412.49</v>
      </c>
      <c r="T404" s="2">
        <f t="shared" si="188"/>
        <v>0</v>
      </c>
      <c r="U404" s="2">
        <f t="shared" si="188"/>
        <v>154.012291</v>
      </c>
      <c r="V404" s="2">
        <f t="shared" si="188"/>
        <v>0</v>
      </c>
      <c r="W404" s="2">
        <f t="shared" si="188"/>
        <v>0</v>
      </c>
      <c r="X404" s="2">
        <f t="shared" si="188"/>
        <v>24088.74</v>
      </c>
      <c r="Y404" s="2">
        <f t="shared" si="188"/>
        <v>3441.24</v>
      </c>
      <c r="Z404" s="2">
        <f t="shared" si="188"/>
        <v>0</v>
      </c>
      <c r="AA404" s="2">
        <f t="shared" si="188"/>
        <v>0</v>
      </c>
      <c r="AB404" s="2">
        <f t="shared" si="188"/>
        <v>0</v>
      </c>
      <c r="AC404" s="2">
        <f t="shared" si="188"/>
        <v>0</v>
      </c>
      <c r="AD404" s="2">
        <f t="shared" si="188"/>
        <v>0</v>
      </c>
      <c r="AE404" s="2">
        <f t="shared" si="188"/>
        <v>0</v>
      </c>
      <c r="AF404" s="2">
        <f t="shared" si="188"/>
        <v>0</v>
      </c>
      <c r="AG404" s="2">
        <f t="shared" si="188"/>
        <v>0</v>
      </c>
      <c r="AH404" s="2">
        <f t="shared" si="188"/>
        <v>0</v>
      </c>
      <c r="AI404" s="2">
        <f t="shared" si="188"/>
        <v>0</v>
      </c>
      <c r="AJ404" s="2">
        <f t="shared" si="188"/>
        <v>0</v>
      </c>
      <c r="AK404" s="2">
        <f t="shared" si="188"/>
        <v>0</v>
      </c>
      <c r="AL404" s="2">
        <f t="shared" si="188"/>
        <v>0</v>
      </c>
      <c r="AM404" s="2">
        <f t="shared" si="188"/>
        <v>0</v>
      </c>
      <c r="AN404" s="2">
        <f t="shared" si="188"/>
        <v>0</v>
      </c>
      <c r="AO404" s="2">
        <f t="shared" si="188"/>
        <v>0</v>
      </c>
      <c r="AP404" s="2">
        <f t="shared" si="188"/>
        <v>0</v>
      </c>
      <c r="AQ404" s="2">
        <f t="shared" si="188"/>
        <v>0</v>
      </c>
      <c r="AR404" s="2">
        <f t="shared" si="188"/>
        <v>128606.51</v>
      </c>
      <c r="AS404" s="2">
        <f t="shared" si="188"/>
        <v>0</v>
      </c>
      <c r="AT404" s="2">
        <f t="shared" si="188"/>
        <v>0</v>
      </c>
      <c r="AU404" s="2">
        <f t="shared" ref="AU404:BZ404" si="189">AU449</f>
        <v>128606.51</v>
      </c>
      <c r="AV404" s="2">
        <f t="shared" si="189"/>
        <v>47759.27</v>
      </c>
      <c r="AW404" s="2">
        <f t="shared" si="189"/>
        <v>47759.27</v>
      </c>
      <c r="AX404" s="2">
        <f t="shared" si="189"/>
        <v>0</v>
      </c>
      <c r="AY404" s="2">
        <f t="shared" si="189"/>
        <v>47759.27</v>
      </c>
      <c r="AZ404" s="2">
        <f t="shared" si="189"/>
        <v>0</v>
      </c>
      <c r="BA404" s="2">
        <f t="shared" si="189"/>
        <v>0</v>
      </c>
      <c r="BB404" s="2">
        <f t="shared" si="189"/>
        <v>0</v>
      </c>
      <c r="BC404" s="2">
        <f t="shared" si="189"/>
        <v>0</v>
      </c>
      <c r="BD404" s="2">
        <f t="shared" si="189"/>
        <v>0</v>
      </c>
      <c r="BE404" s="2">
        <f t="shared" si="189"/>
        <v>0</v>
      </c>
      <c r="BF404" s="2">
        <f t="shared" si="189"/>
        <v>0</v>
      </c>
      <c r="BG404" s="2">
        <f t="shared" si="189"/>
        <v>0</v>
      </c>
      <c r="BH404" s="2">
        <f t="shared" si="189"/>
        <v>0</v>
      </c>
      <c r="BI404" s="2">
        <f t="shared" si="189"/>
        <v>0</v>
      </c>
      <c r="BJ404" s="2">
        <f t="shared" si="189"/>
        <v>0</v>
      </c>
      <c r="BK404" s="2">
        <f t="shared" si="189"/>
        <v>0</v>
      </c>
      <c r="BL404" s="2">
        <f t="shared" si="189"/>
        <v>0</v>
      </c>
      <c r="BM404" s="2">
        <f t="shared" si="189"/>
        <v>0</v>
      </c>
      <c r="BN404" s="2">
        <f t="shared" si="189"/>
        <v>0</v>
      </c>
      <c r="BO404" s="2">
        <f t="shared" si="189"/>
        <v>0</v>
      </c>
      <c r="BP404" s="2">
        <f t="shared" si="189"/>
        <v>0</v>
      </c>
      <c r="BQ404" s="2">
        <f t="shared" si="189"/>
        <v>0</v>
      </c>
      <c r="BR404" s="2">
        <f t="shared" si="189"/>
        <v>0</v>
      </c>
      <c r="BS404" s="2">
        <f t="shared" si="189"/>
        <v>0</v>
      </c>
      <c r="BT404" s="2">
        <f t="shared" si="189"/>
        <v>0</v>
      </c>
      <c r="BU404" s="2">
        <f t="shared" si="189"/>
        <v>0</v>
      </c>
      <c r="BV404" s="2">
        <f t="shared" si="189"/>
        <v>0</v>
      </c>
      <c r="BW404" s="2">
        <f t="shared" si="189"/>
        <v>0</v>
      </c>
      <c r="BX404" s="2">
        <f t="shared" si="189"/>
        <v>0</v>
      </c>
      <c r="BY404" s="2">
        <f t="shared" si="189"/>
        <v>0</v>
      </c>
      <c r="BZ404" s="2">
        <f t="shared" si="189"/>
        <v>0</v>
      </c>
      <c r="CA404" s="2">
        <f t="shared" ref="CA404:DF404" si="190">CA449</f>
        <v>0</v>
      </c>
      <c r="CB404" s="2">
        <f t="shared" si="190"/>
        <v>0</v>
      </c>
      <c r="CC404" s="2">
        <f t="shared" si="190"/>
        <v>0</v>
      </c>
      <c r="CD404" s="2">
        <f t="shared" si="190"/>
        <v>0</v>
      </c>
      <c r="CE404" s="2">
        <f t="shared" si="190"/>
        <v>0</v>
      </c>
      <c r="CF404" s="2">
        <f t="shared" si="190"/>
        <v>0</v>
      </c>
      <c r="CG404" s="2">
        <f t="shared" si="190"/>
        <v>0</v>
      </c>
      <c r="CH404" s="2">
        <f t="shared" si="190"/>
        <v>0</v>
      </c>
      <c r="CI404" s="2">
        <f t="shared" si="190"/>
        <v>0</v>
      </c>
      <c r="CJ404" s="2">
        <f t="shared" si="190"/>
        <v>0</v>
      </c>
      <c r="CK404" s="2">
        <f t="shared" si="190"/>
        <v>0</v>
      </c>
      <c r="CL404" s="2">
        <f t="shared" si="190"/>
        <v>0</v>
      </c>
      <c r="CM404" s="2">
        <f t="shared" si="190"/>
        <v>0</v>
      </c>
      <c r="CN404" s="2">
        <f t="shared" si="190"/>
        <v>0</v>
      </c>
      <c r="CO404" s="2">
        <f t="shared" si="190"/>
        <v>0</v>
      </c>
      <c r="CP404" s="2">
        <f t="shared" si="190"/>
        <v>0</v>
      </c>
      <c r="CQ404" s="2">
        <f t="shared" si="190"/>
        <v>0</v>
      </c>
      <c r="CR404" s="2">
        <f t="shared" si="190"/>
        <v>0</v>
      </c>
      <c r="CS404" s="2">
        <f t="shared" si="190"/>
        <v>0</v>
      </c>
      <c r="CT404" s="2">
        <f t="shared" si="190"/>
        <v>0</v>
      </c>
      <c r="CU404" s="2">
        <f t="shared" si="190"/>
        <v>0</v>
      </c>
      <c r="CV404" s="2">
        <f t="shared" si="190"/>
        <v>0</v>
      </c>
      <c r="CW404" s="2">
        <f t="shared" si="190"/>
        <v>0</v>
      </c>
      <c r="CX404" s="2">
        <f t="shared" si="190"/>
        <v>0</v>
      </c>
      <c r="CY404" s="2">
        <f t="shared" si="190"/>
        <v>0</v>
      </c>
      <c r="CZ404" s="2">
        <f t="shared" si="190"/>
        <v>0</v>
      </c>
      <c r="DA404" s="2">
        <f t="shared" si="190"/>
        <v>0</v>
      </c>
      <c r="DB404" s="2">
        <f t="shared" si="190"/>
        <v>0</v>
      </c>
      <c r="DC404" s="2">
        <f t="shared" si="190"/>
        <v>0</v>
      </c>
      <c r="DD404" s="2">
        <f t="shared" si="190"/>
        <v>0</v>
      </c>
      <c r="DE404" s="2">
        <f t="shared" si="190"/>
        <v>0</v>
      </c>
      <c r="DF404" s="2">
        <f t="shared" si="190"/>
        <v>0</v>
      </c>
      <c r="DG404" s="3">
        <f t="shared" ref="DG404:EL404" si="191">DG449</f>
        <v>0</v>
      </c>
      <c r="DH404" s="3">
        <f t="shared" si="191"/>
        <v>0</v>
      </c>
      <c r="DI404" s="3">
        <f t="shared" si="191"/>
        <v>0</v>
      </c>
      <c r="DJ404" s="3">
        <f t="shared" si="191"/>
        <v>0</v>
      </c>
      <c r="DK404" s="3">
        <f t="shared" si="191"/>
        <v>0</v>
      </c>
      <c r="DL404" s="3">
        <f t="shared" si="191"/>
        <v>0</v>
      </c>
      <c r="DM404" s="3">
        <f t="shared" si="191"/>
        <v>0</v>
      </c>
      <c r="DN404" s="3">
        <f t="shared" si="191"/>
        <v>0</v>
      </c>
      <c r="DO404" s="3">
        <f t="shared" si="191"/>
        <v>0</v>
      </c>
      <c r="DP404" s="3">
        <f t="shared" si="191"/>
        <v>0</v>
      </c>
      <c r="DQ404" s="3">
        <f t="shared" si="191"/>
        <v>0</v>
      </c>
      <c r="DR404" s="3">
        <f t="shared" si="191"/>
        <v>0</v>
      </c>
      <c r="DS404" s="3">
        <f t="shared" si="191"/>
        <v>0</v>
      </c>
      <c r="DT404" s="3">
        <f t="shared" si="191"/>
        <v>0</v>
      </c>
      <c r="DU404" s="3">
        <f t="shared" si="191"/>
        <v>0</v>
      </c>
      <c r="DV404" s="3">
        <f t="shared" si="191"/>
        <v>0</v>
      </c>
      <c r="DW404" s="3">
        <f t="shared" si="191"/>
        <v>0</v>
      </c>
      <c r="DX404" s="3">
        <f t="shared" si="191"/>
        <v>0</v>
      </c>
      <c r="DY404" s="3">
        <f t="shared" si="191"/>
        <v>0</v>
      </c>
      <c r="DZ404" s="3">
        <f t="shared" si="191"/>
        <v>0</v>
      </c>
      <c r="EA404" s="3">
        <f t="shared" si="191"/>
        <v>0</v>
      </c>
      <c r="EB404" s="3">
        <f t="shared" si="191"/>
        <v>0</v>
      </c>
      <c r="EC404" s="3">
        <f t="shared" si="191"/>
        <v>0</v>
      </c>
      <c r="ED404" s="3">
        <f t="shared" si="191"/>
        <v>0</v>
      </c>
      <c r="EE404" s="3">
        <f t="shared" si="191"/>
        <v>0</v>
      </c>
      <c r="EF404" s="3">
        <f t="shared" si="191"/>
        <v>0</v>
      </c>
      <c r="EG404" s="3">
        <f t="shared" si="191"/>
        <v>0</v>
      </c>
      <c r="EH404" s="3">
        <f t="shared" si="191"/>
        <v>0</v>
      </c>
      <c r="EI404" s="3">
        <f t="shared" si="191"/>
        <v>0</v>
      </c>
      <c r="EJ404" s="3">
        <f t="shared" si="191"/>
        <v>0</v>
      </c>
      <c r="EK404" s="3">
        <f t="shared" si="191"/>
        <v>0</v>
      </c>
      <c r="EL404" s="3">
        <f t="shared" si="191"/>
        <v>0</v>
      </c>
      <c r="EM404" s="3">
        <f t="shared" ref="EM404:FR404" si="192">EM449</f>
        <v>0</v>
      </c>
      <c r="EN404" s="3">
        <f t="shared" si="192"/>
        <v>0</v>
      </c>
      <c r="EO404" s="3">
        <f t="shared" si="192"/>
        <v>0</v>
      </c>
      <c r="EP404" s="3">
        <f t="shared" si="192"/>
        <v>0</v>
      </c>
      <c r="EQ404" s="3">
        <f t="shared" si="192"/>
        <v>0</v>
      </c>
      <c r="ER404" s="3">
        <f t="shared" si="192"/>
        <v>0</v>
      </c>
      <c r="ES404" s="3">
        <f t="shared" si="192"/>
        <v>0</v>
      </c>
      <c r="ET404" s="3">
        <f t="shared" si="192"/>
        <v>0</v>
      </c>
      <c r="EU404" s="3">
        <f t="shared" si="192"/>
        <v>0</v>
      </c>
      <c r="EV404" s="3">
        <f t="shared" si="192"/>
        <v>0</v>
      </c>
      <c r="EW404" s="3">
        <f t="shared" si="192"/>
        <v>0</v>
      </c>
      <c r="EX404" s="3">
        <f t="shared" si="192"/>
        <v>0</v>
      </c>
      <c r="EY404" s="3">
        <f t="shared" si="192"/>
        <v>0</v>
      </c>
      <c r="EZ404" s="3">
        <f t="shared" si="192"/>
        <v>0</v>
      </c>
      <c r="FA404" s="3">
        <f t="shared" si="192"/>
        <v>0</v>
      </c>
      <c r="FB404" s="3">
        <f t="shared" si="192"/>
        <v>0</v>
      </c>
      <c r="FC404" s="3">
        <f t="shared" si="192"/>
        <v>0</v>
      </c>
      <c r="FD404" s="3">
        <f t="shared" si="192"/>
        <v>0</v>
      </c>
      <c r="FE404" s="3">
        <f t="shared" si="192"/>
        <v>0</v>
      </c>
      <c r="FF404" s="3">
        <f t="shared" si="192"/>
        <v>0</v>
      </c>
      <c r="FG404" s="3">
        <f t="shared" si="192"/>
        <v>0</v>
      </c>
      <c r="FH404" s="3">
        <f t="shared" si="192"/>
        <v>0</v>
      </c>
      <c r="FI404" s="3">
        <f t="shared" si="192"/>
        <v>0</v>
      </c>
      <c r="FJ404" s="3">
        <f t="shared" si="192"/>
        <v>0</v>
      </c>
      <c r="FK404" s="3">
        <f t="shared" si="192"/>
        <v>0</v>
      </c>
      <c r="FL404" s="3">
        <f t="shared" si="192"/>
        <v>0</v>
      </c>
      <c r="FM404" s="3">
        <f t="shared" si="192"/>
        <v>0</v>
      </c>
      <c r="FN404" s="3">
        <f t="shared" si="192"/>
        <v>0</v>
      </c>
      <c r="FO404" s="3">
        <f t="shared" si="192"/>
        <v>0</v>
      </c>
      <c r="FP404" s="3">
        <f t="shared" si="192"/>
        <v>0</v>
      </c>
      <c r="FQ404" s="3">
        <f t="shared" si="192"/>
        <v>0</v>
      </c>
      <c r="FR404" s="3">
        <f t="shared" si="192"/>
        <v>0</v>
      </c>
      <c r="FS404" s="3">
        <f t="shared" ref="FS404:GX404" si="193">FS449</f>
        <v>0</v>
      </c>
      <c r="FT404" s="3">
        <f t="shared" si="193"/>
        <v>0</v>
      </c>
      <c r="FU404" s="3">
        <f t="shared" si="193"/>
        <v>0</v>
      </c>
      <c r="FV404" s="3">
        <f t="shared" si="193"/>
        <v>0</v>
      </c>
      <c r="FW404" s="3">
        <f t="shared" si="193"/>
        <v>0</v>
      </c>
      <c r="FX404" s="3">
        <f t="shared" si="193"/>
        <v>0</v>
      </c>
      <c r="FY404" s="3">
        <f t="shared" si="193"/>
        <v>0</v>
      </c>
      <c r="FZ404" s="3">
        <f t="shared" si="193"/>
        <v>0</v>
      </c>
      <c r="GA404" s="3">
        <f t="shared" si="193"/>
        <v>0</v>
      </c>
      <c r="GB404" s="3">
        <f t="shared" si="193"/>
        <v>0</v>
      </c>
      <c r="GC404" s="3">
        <f t="shared" si="193"/>
        <v>0</v>
      </c>
      <c r="GD404" s="3">
        <f t="shared" si="193"/>
        <v>0</v>
      </c>
      <c r="GE404" s="3">
        <f t="shared" si="193"/>
        <v>0</v>
      </c>
      <c r="GF404" s="3">
        <f t="shared" si="193"/>
        <v>0</v>
      </c>
      <c r="GG404" s="3">
        <f t="shared" si="193"/>
        <v>0</v>
      </c>
      <c r="GH404" s="3">
        <f t="shared" si="193"/>
        <v>0</v>
      </c>
      <c r="GI404" s="3">
        <f t="shared" si="193"/>
        <v>0</v>
      </c>
      <c r="GJ404" s="3">
        <f t="shared" si="193"/>
        <v>0</v>
      </c>
      <c r="GK404" s="3">
        <f t="shared" si="193"/>
        <v>0</v>
      </c>
      <c r="GL404" s="3">
        <f t="shared" si="193"/>
        <v>0</v>
      </c>
      <c r="GM404" s="3">
        <f t="shared" si="193"/>
        <v>0</v>
      </c>
      <c r="GN404" s="3">
        <f t="shared" si="193"/>
        <v>0</v>
      </c>
      <c r="GO404" s="3">
        <f t="shared" si="193"/>
        <v>0</v>
      </c>
      <c r="GP404" s="3">
        <f t="shared" si="193"/>
        <v>0</v>
      </c>
      <c r="GQ404" s="3">
        <f t="shared" si="193"/>
        <v>0</v>
      </c>
      <c r="GR404" s="3">
        <f t="shared" si="193"/>
        <v>0</v>
      </c>
      <c r="GS404" s="3">
        <f t="shared" si="193"/>
        <v>0</v>
      </c>
      <c r="GT404" s="3">
        <f t="shared" si="193"/>
        <v>0</v>
      </c>
      <c r="GU404" s="3">
        <f t="shared" si="193"/>
        <v>0</v>
      </c>
      <c r="GV404" s="3">
        <f t="shared" si="193"/>
        <v>0</v>
      </c>
      <c r="GW404" s="3">
        <f t="shared" si="193"/>
        <v>0</v>
      </c>
      <c r="GX404" s="3">
        <f t="shared" si="193"/>
        <v>0</v>
      </c>
    </row>
    <row r="406" spans="1:245" x14ac:dyDescent="0.2">
      <c r="A406" s="1">
        <v>5</v>
      </c>
      <c r="B406" s="1">
        <v>1</v>
      </c>
      <c r="C406" s="1"/>
      <c r="D406" s="1">
        <f>ROW(A419)</f>
        <v>419</v>
      </c>
      <c r="E406" s="1"/>
      <c r="F406" s="1" t="s">
        <v>14</v>
      </c>
      <c r="G406" s="1" t="s">
        <v>104</v>
      </c>
      <c r="H406" s="1" t="s">
        <v>3</v>
      </c>
      <c r="I406" s="1">
        <v>0</v>
      </c>
      <c r="J406" s="1"/>
      <c r="K406" s="1">
        <v>0</v>
      </c>
      <c r="L406" s="1"/>
      <c r="M406" s="1"/>
      <c r="N406" s="1"/>
      <c r="O406" s="1"/>
      <c r="P406" s="1"/>
      <c r="Q406" s="1"/>
      <c r="R406" s="1"/>
      <c r="S406" s="1"/>
      <c r="T406" s="1"/>
      <c r="U406" s="1" t="s">
        <v>3</v>
      </c>
      <c r="V406" s="1">
        <v>0</v>
      </c>
      <c r="W406" s="1"/>
      <c r="X406" s="1"/>
      <c r="Y406" s="1"/>
      <c r="Z406" s="1"/>
      <c r="AA406" s="1"/>
      <c r="AB406" s="1" t="s">
        <v>3</v>
      </c>
      <c r="AC406" s="1" t="s">
        <v>3</v>
      </c>
      <c r="AD406" s="1" t="s">
        <v>3</v>
      </c>
      <c r="AE406" s="1" t="s">
        <v>3</v>
      </c>
      <c r="AF406" s="1" t="s">
        <v>3</v>
      </c>
      <c r="AG406" s="1" t="s">
        <v>3</v>
      </c>
      <c r="AH406" s="1"/>
      <c r="AI406" s="1"/>
      <c r="AJ406" s="1"/>
      <c r="AK406" s="1"/>
      <c r="AL406" s="1"/>
      <c r="AM406" s="1"/>
      <c r="AN406" s="1"/>
      <c r="AO406" s="1"/>
      <c r="AP406" s="1" t="s">
        <v>3</v>
      </c>
      <c r="AQ406" s="1" t="s">
        <v>3</v>
      </c>
      <c r="AR406" s="1" t="s">
        <v>3</v>
      </c>
      <c r="AS406" s="1"/>
      <c r="AT406" s="1"/>
      <c r="AU406" s="1"/>
      <c r="AV406" s="1"/>
      <c r="AW406" s="1"/>
      <c r="AX406" s="1"/>
      <c r="AY406" s="1"/>
      <c r="AZ406" s="1" t="s">
        <v>3</v>
      </c>
      <c r="BA406" s="1"/>
      <c r="BB406" s="1" t="s">
        <v>3</v>
      </c>
      <c r="BC406" s="1" t="s">
        <v>3</v>
      </c>
      <c r="BD406" s="1" t="s">
        <v>3</v>
      </c>
      <c r="BE406" s="1" t="s">
        <v>3</v>
      </c>
      <c r="BF406" s="1" t="s">
        <v>3</v>
      </c>
      <c r="BG406" s="1" t="s">
        <v>3</v>
      </c>
      <c r="BH406" s="1" t="s">
        <v>3</v>
      </c>
      <c r="BI406" s="1" t="s">
        <v>3</v>
      </c>
      <c r="BJ406" s="1" t="s">
        <v>3</v>
      </c>
      <c r="BK406" s="1" t="s">
        <v>3</v>
      </c>
      <c r="BL406" s="1" t="s">
        <v>3</v>
      </c>
      <c r="BM406" s="1" t="s">
        <v>3</v>
      </c>
      <c r="BN406" s="1" t="s">
        <v>3</v>
      </c>
      <c r="BO406" s="1" t="s">
        <v>3</v>
      </c>
      <c r="BP406" s="1" t="s">
        <v>3</v>
      </c>
      <c r="BQ406" s="1"/>
      <c r="BR406" s="1"/>
      <c r="BS406" s="1"/>
      <c r="BT406" s="1"/>
      <c r="BU406" s="1"/>
      <c r="BV406" s="1"/>
      <c r="BW406" s="1"/>
      <c r="BX406" s="1">
        <v>0</v>
      </c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>
        <v>0</v>
      </c>
    </row>
    <row r="408" spans="1:245" x14ac:dyDescent="0.2">
      <c r="A408" s="2">
        <v>52</v>
      </c>
      <c r="B408" s="2">
        <f t="shared" ref="B408:G408" si="194">B419</f>
        <v>1</v>
      </c>
      <c r="C408" s="2">
        <f t="shared" si="194"/>
        <v>5</v>
      </c>
      <c r="D408" s="2">
        <f t="shared" si="194"/>
        <v>406</v>
      </c>
      <c r="E408" s="2">
        <f t="shared" si="194"/>
        <v>0</v>
      </c>
      <c r="F408" s="2" t="str">
        <f t="shared" si="194"/>
        <v>Новый подраздел</v>
      </c>
      <c r="G408" s="2" t="str">
        <f t="shared" si="194"/>
        <v>Строительные работы</v>
      </c>
      <c r="H408" s="2"/>
      <c r="I408" s="2"/>
      <c r="J408" s="2"/>
      <c r="K408" s="2"/>
      <c r="L408" s="2"/>
      <c r="M408" s="2"/>
      <c r="N408" s="2"/>
      <c r="O408" s="2">
        <f t="shared" ref="O408:AT408" si="195">O419</f>
        <v>93861.67</v>
      </c>
      <c r="P408" s="2">
        <f t="shared" si="195"/>
        <v>47759.27</v>
      </c>
      <c r="Q408" s="2">
        <f t="shared" si="195"/>
        <v>11689.91</v>
      </c>
      <c r="R408" s="2">
        <f t="shared" si="195"/>
        <v>6680.43</v>
      </c>
      <c r="S408" s="2">
        <f t="shared" si="195"/>
        <v>34412.49</v>
      </c>
      <c r="T408" s="2">
        <f t="shared" si="195"/>
        <v>0</v>
      </c>
      <c r="U408" s="2">
        <f t="shared" si="195"/>
        <v>154.012291</v>
      </c>
      <c r="V408" s="2">
        <f t="shared" si="195"/>
        <v>0</v>
      </c>
      <c r="W408" s="2">
        <f t="shared" si="195"/>
        <v>0</v>
      </c>
      <c r="X408" s="2">
        <f t="shared" si="195"/>
        <v>24088.74</v>
      </c>
      <c r="Y408" s="2">
        <f t="shared" si="195"/>
        <v>3441.24</v>
      </c>
      <c r="Z408" s="2">
        <f t="shared" si="195"/>
        <v>0</v>
      </c>
      <c r="AA408" s="2">
        <f t="shared" si="195"/>
        <v>0</v>
      </c>
      <c r="AB408" s="2">
        <f t="shared" si="195"/>
        <v>93861.67</v>
      </c>
      <c r="AC408" s="2">
        <f t="shared" si="195"/>
        <v>47759.27</v>
      </c>
      <c r="AD408" s="2">
        <f t="shared" si="195"/>
        <v>11689.91</v>
      </c>
      <c r="AE408" s="2">
        <f t="shared" si="195"/>
        <v>6680.43</v>
      </c>
      <c r="AF408" s="2">
        <f t="shared" si="195"/>
        <v>34412.49</v>
      </c>
      <c r="AG408" s="2">
        <f t="shared" si="195"/>
        <v>0</v>
      </c>
      <c r="AH408" s="2">
        <f t="shared" si="195"/>
        <v>154.012291</v>
      </c>
      <c r="AI408" s="2">
        <f t="shared" si="195"/>
        <v>0</v>
      </c>
      <c r="AJ408" s="2">
        <f t="shared" si="195"/>
        <v>0</v>
      </c>
      <c r="AK408" s="2">
        <f t="shared" si="195"/>
        <v>24088.74</v>
      </c>
      <c r="AL408" s="2">
        <f t="shared" si="195"/>
        <v>3441.24</v>
      </c>
      <c r="AM408" s="2">
        <f t="shared" si="195"/>
        <v>0</v>
      </c>
      <c r="AN408" s="2">
        <f t="shared" si="195"/>
        <v>0</v>
      </c>
      <c r="AO408" s="2">
        <f t="shared" si="195"/>
        <v>0</v>
      </c>
      <c r="AP408" s="2">
        <f t="shared" si="195"/>
        <v>0</v>
      </c>
      <c r="AQ408" s="2">
        <f t="shared" si="195"/>
        <v>0</v>
      </c>
      <c r="AR408" s="2">
        <f t="shared" si="195"/>
        <v>128606.51</v>
      </c>
      <c r="AS408" s="2">
        <f t="shared" si="195"/>
        <v>0</v>
      </c>
      <c r="AT408" s="2">
        <f t="shared" si="195"/>
        <v>0</v>
      </c>
      <c r="AU408" s="2">
        <f t="shared" ref="AU408:BZ408" si="196">AU419</f>
        <v>128606.51</v>
      </c>
      <c r="AV408" s="2">
        <f t="shared" si="196"/>
        <v>47759.27</v>
      </c>
      <c r="AW408" s="2">
        <f t="shared" si="196"/>
        <v>47759.27</v>
      </c>
      <c r="AX408" s="2">
        <f t="shared" si="196"/>
        <v>0</v>
      </c>
      <c r="AY408" s="2">
        <f t="shared" si="196"/>
        <v>47759.27</v>
      </c>
      <c r="AZ408" s="2">
        <f t="shared" si="196"/>
        <v>0</v>
      </c>
      <c r="BA408" s="2">
        <f t="shared" si="196"/>
        <v>0</v>
      </c>
      <c r="BB408" s="2">
        <f t="shared" si="196"/>
        <v>0</v>
      </c>
      <c r="BC408" s="2">
        <f t="shared" si="196"/>
        <v>0</v>
      </c>
      <c r="BD408" s="2">
        <f t="shared" si="196"/>
        <v>0</v>
      </c>
      <c r="BE408" s="2">
        <f t="shared" si="196"/>
        <v>0</v>
      </c>
      <c r="BF408" s="2">
        <f t="shared" si="196"/>
        <v>0</v>
      </c>
      <c r="BG408" s="2">
        <f t="shared" si="196"/>
        <v>0</v>
      </c>
      <c r="BH408" s="2">
        <f t="shared" si="196"/>
        <v>0</v>
      </c>
      <c r="BI408" s="2">
        <f t="shared" si="196"/>
        <v>0</v>
      </c>
      <c r="BJ408" s="2">
        <f t="shared" si="196"/>
        <v>0</v>
      </c>
      <c r="BK408" s="2">
        <f t="shared" si="196"/>
        <v>0</v>
      </c>
      <c r="BL408" s="2">
        <f t="shared" si="196"/>
        <v>0</v>
      </c>
      <c r="BM408" s="2">
        <f t="shared" si="196"/>
        <v>0</v>
      </c>
      <c r="BN408" s="2">
        <f t="shared" si="196"/>
        <v>0</v>
      </c>
      <c r="BO408" s="2">
        <f t="shared" si="196"/>
        <v>0</v>
      </c>
      <c r="BP408" s="2">
        <f t="shared" si="196"/>
        <v>0</v>
      </c>
      <c r="BQ408" s="2">
        <f t="shared" si="196"/>
        <v>0</v>
      </c>
      <c r="BR408" s="2">
        <f t="shared" si="196"/>
        <v>0</v>
      </c>
      <c r="BS408" s="2">
        <f t="shared" si="196"/>
        <v>0</v>
      </c>
      <c r="BT408" s="2">
        <f t="shared" si="196"/>
        <v>0</v>
      </c>
      <c r="BU408" s="2">
        <f t="shared" si="196"/>
        <v>0</v>
      </c>
      <c r="BV408" s="2">
        <f t="shared" si="196"/>
        <v>0</v>
      </c>
      <c r="BW408" s="2">
        <f t="shared" si="196"/>
        <v>0</v>
      </c>
      <c r="BX408" s="2">
        <f t="shared" si="196"/>
        <v>0</v>
      </c>
      <c r="BY408" s="2">
        <f t="shared" si="196"/>
        <v>0</v>
      </c>
      <c r="BZ408" s="2">
        <f t="shared" si="196"/>
        <v>0</v>
      </c>
      <c r="CA408" s="2">
        <f t="shared" ref="CA408:DF408" si="197">CA419</f>
        <v>128606.51</v>
      </c>
      <c r="CB408" s="2">
        <f t="shared" si="197"/>
        <v>0</v>
      </c>
      <c r="CC408" s="2">
        <f t="shared" si="197"/>
        <v>0</v>
      </c>
      <c r="CD408" s="2">
        <f t="shared" si="197"/>
        <v>128606.51</v>
      </c>
      <c r="CE408" s="2">
        <f t="shared" si="197"/>
        <v>47759.27</v>
      </c>
      <c r="CF408" s="2">
        <f t="shared" si="197"/>
        <v>47759.27</v>
      </c>
      <c r="CG408" s="2">
        <f t="shared" si="197"/>
        <v>0</v>
      </c>
      <c r="CH408" s="2">
        <f t="shared" si="197"/>
        <v>47759.27</v>
      </c>
      <c r="CI408" s="2">
        <f t="shared" si="197"/>
        <v>0</v>
      </c>
      <c r="CJ408" s="2">
        <f t="shared" si="197"/>
        <v>0</v>
      </c>
      <c r="CK408" s="2">
        <f t="shared" si="197"/>
        <v>0</v>
      </c>
      <c r="CL408" s="2">
        <f t="shared" si="197"/>
        <v>0</v>
      </c>
      <c r="CM408" s="2">
        <f t="shared" si="197"/>
        <v>0</v>
      </c>
      <c r="CN408" s="2">
        <f t="shared" si="197"/>
        <v>0</v>
      </c>
      <c r="CO408" s="2">
        <f t="shared" si="197"/>
        <v>0</v>
      </c>
      <c r="CP408" s="2">
        <f t="shared" si="197"/>
        <v>0</v>
      </c>
      <c r="CQ408" s="2">
        <f t="shared" si="197"/>
        <v>0</v>
      </c>
      <c r="CR408" s="2">
        <f t="shared" si="197"/>
        <v>0</v>
      </c>
      <c r="CS408" s="2">
        <f t="shared" si="197"/>
        <v>0</v>
      </c>
      <c r="CT408" s="2">
        <f t="shared" si="197"/>
        <v>0</v>
      </c>
      <c r="CU408" s="2">
        <f t="shared" si="197"/>
        <v>0</v>
      </c>
      <c r="CV408" s="2">
        <f t="shared" si="197"/>
        <v>0</v>
      </c>
      <c r="CW408" s="2">
        <f t="shared" si="197"/>
        <v>0</v>
      </c>
      <c r="CX408" s="2">
        <f t="shared" si="197"/>
        <v>0</v>
      </c>
      <c r="CY408" s="2">
        <f t="shared" si="197"/>
        <v>0</v>
      </c>
      <c r="CZ408" s="2">
        <f t="shared" si="197"/>
        <v>0</v>
      </c>
      <c r="DA408" s="2">
        <f t="shared" si="197"/>
        <v>0</v>
      </c>
      <c r="DB408" s="2">
        <f t="shared" si="197"/>
        <v>0</v>
      </c>
      <c r="DC408" s="2">
        <f t="shared" si="197"/>
        <v>0</v>
      </c>
      <c r="DD408" s="2">
        <f t="shared" si="197"/>
        <v>0</v>
      </c>
      <c r="DE408" s="2">
        <f t="shared" si="197"/>
        <v>0</v>
      </c>
      <c r="DF408" s="2">
        <f t="shared" si="197"/>
        <v>0</v>
      </c>
      <c r="DG408" s="3">
        <f t="shared" ref="DG408:EL408" si="198">DG419</f>
        <v>0</v>
      </c>
      <c r="DH408" s="3">
        <f t="shared" si="198"/>
        <v>0</v>
      </c>
      <c r="DI408" s="3">
        <f t="shared" si="198"/>
        <v>0</v>
      </c>
      <c r="DJ408" s="3">
        <f t="shared" si="198"/>
        <v>0</v>
      </c>
      <c r="DK408" s="3">
        <f t="shared" si="198"/>
        <v>0</v>
      </c>
      <c r="DL408" s="3">
        <f t="shared" si="198"/>
        <v>0</v>
      </c>
      <c r="DM408" s="3">
        <f t="shared" si="198"/>
        <v>0</v>
      </c>
      <c r="DN408" s="3">
        <f t="shared" si="198"/>
        <v>0</v>
      </c>
      <c r="DO408" s="3">
        <f t="shared" si="198"/>
        <v>0</v>
      </c>
      <c r="DP408" s="3">
        <f t="shared" si="198"/>
        <v>0</v>
      </c>
      <c r="DQ408" s="3">
        <f t="shared" si="198"/>
        <v>0</v>
      </c>
      <c r="DR408" s="3">
        <f t="shared" si="198"/>
        <v>0</v>
      </c>
      <c r="DS408" s="3">
        <f t="shared" si="198"/>
        <v>0</v>
      </c>
      <c r="DT408" s="3">
        <f t="shared" si="198"/>
        <v>0</v>
      </c>
      <c r="DU408" s="3">
        <f t="shared" si="198"/>
        <v>0</v>
      </c>
      <c r="DV408" s="3">
        <f t="shared" si="198"/>
        <v>0</v>
      </c>
      <c r="DW408" s="3">
        <f t="shared" si="198"/>
        <v>0</v>
      </c>
      <c r="DX408" s="3">
        <f t="shared" si="198"/>
        <v>0</v>
      </c>
      <c r="DY408" s="3">
        <f t="shared" si="198"/>
        <v>0</v>
      </c>
      <c r="DZ408" s="3">
        <f t="shared" si="198"/>
        <v>0</v>
      </c>
      <c r="EA408" s="3">
        <f t="shared" si="198"/>
        <v>0</v>
      </c>
      <c r="EB408" s="3">
        <f t="shared" si="198"/>
        <v>0</v>
      </c>
      <c r="EC408" s="3">
        <f t="shared" si="198"/>
        <v>0</v>
      </c>
      <c r="ED408" s="3">
        <f t="shared" si="198"/>
        <v>0</v>
      </c>
      <c r="EE408" s="3">
        <f t="shared" si="198"/>
        <v>0</v>
      </c>
      <c r="EF408" s="3">
        <f t="shared" si="198"/>
        <v>0</v>
      </c>
      <c r="EG408" s="3">
        <f t="shared" si="198"/>
        <v>0</v>
      </c>
      <c r="EH408" s="3">
        <f t="shared" si="198"/>
        <v>0</v>
      </c>
      <c r="EI408" s="3">
        <f t="shared" si="198"/>
        <v>0</v>
      </c>
      <c r="EJ408" s="3">
        <f t="shared" si="198"/>
        <v>0</v>
      </c>
      <c r="EK408" s="3">
        <f t="shared" si="198"/>
        <v>0</v>
      </c>
      <c r="EL408" s="3">
        <f t="shared" si="198"/>
        <v>0</v>
      </c>
      <c r="EM408" s="3">
        <f t="shared" ref="EM408:FR408" si="199">EM419</f>
        <v>0</v>
      </c>
      <c r="EN408" s="3">
        <f t="shared" si="199"/>
        <v>0</v>
      </c>
      <c r="EO408" s="3">
        <f t="shared" si="199"/>
        <v>0</v>
      </c>
      <c r="EP408" s="3">
        <f t="shared" si="199"/>
        <v>0</v>
      </c>
      <c r="EQ408" s="3">
        <f t="shared" si="199"/>
        <v>0</v>
      </c>
      <c r="ER408" s="3">
        <f t="shared" si="199"/>
        <v>0</v>
      </c>
      <c r="ES408" s="3">
        <f t="shared" si="199"/>
        <v>0</v>
      </c>
      <c r="ET408" s="3">
        <f t="shared" si="199"/>
        <v>0</v>
      </c>
      <c r="EU408" s="3">
        <f t="shared" si="199"/>
        <v>0</v>
      </c>
      <c r="EV408" s="3">
        <f t="shared" si="199"/>
        <v>0</v>
      </c>
      <c r="EW408" s="3">
        <f t="shared" si="199"/>
        <v>0</v>
      </c>
      <c r="EX408" s="3">
        <f t="shared" si="199"/>
        <v>0</v>
      </c>
      <c r="EY408" s="3">
        <f t="shared" si="199"/>
        <v>0</v>
      </c>
      <c r="EZ408" s="3">
        <f t="shared" si="199"/>
        <v>0</v>
      </c>
      <c r="FA408" s="3">
        <f t="shared" si="199"/>
        <v>0</v>
      </c>
      <c r="FB408" s="3">
        <f t="shared" si="199"/>
        <v>0</v>
      </c>
      <c r="FC408" s="3">
        <f t="shared" si="199"/>
        <v>0</v>
      </c>
      <c r="FD408" s="3">
        <f t="shared" si="199"/>
        <v>0</v>
      </c>
      <c r="FE408" s="3">
        <f t="shared" si="199"/>
        <v>0</v>
      </c>
      <c r="FF408" s="3">
        <f t="shared" si="199"/>
        <v>0</v>
      </c>
      <c r="FG408" s="3">
        <f t="shared" si="199"/>
        <v>0</v>
      </c>
      <c r="FH408" s="3">
        <f t="shared" si="199"/>
        <v>0</v>
      </c>
      <c r="FI408" s="3">
        <f t="shared" si="199"/>
        <v>0</v>
      </c>
      <c r="FJ408" s="3">
        <f t="shared" si="199"/>
        <v>0</v>
      </c>
      <c r="FK408" s="3">
        <f t="shared" si="199"/>
        <v>0</v>
      </c>
      <c r="FL408" s="3">
        <f t="shared" si="199"/>
        <v>0</v>
      </c>
      <c r="FM408" s="3">
        <f t="shared" si="199"/>
        <v>0</v>
      </c>
      <c r="FN408" s="3">
        <f t="shared" si="199"/>
        <v>0</v>
      </c>
      <c r="FO408" s="3">
        <f t="shared" si="199"/>
        <v>0</v>
      </c>
      <c r="FP408" s="3">
        <f t="shared" si="199"/>
        <v>0</v>
      </c>
      <c r="FQ408" s="3">
        <f t="shared" si="199"/>
        <v>0</v>
      </c>
      <c r="FR408" s="3">
        <f t="shared" si="199"/>
        <v>0</v>
      </c>
      <c r="FS408" s="3">
        <f t="shared" ref="FS408:GX408" si="200">FS419</f>
        <v>0</v>
      </c>
      <c r="FT408" s="3">
        <f t="shared" si="200"/>
        <v>0</v>
      </c>
      <c r="FU408" s="3">
        <f t="shared" si="200"/>
        <v>0</v>
      </c>
      <c r="FV408" s="3">
        <f t="shared" si="200"/>
        <v>0</v>
      </c>
      <c r="FW408" s="3">
        <f t="shared" si="200"/>
        <v>0</v>
      </c>
      <c r="FX408" s="3">
        <f t="shared" si="200"/>
        <v>0</v>
      </c>
      <c r="FY408" s="3">
        <f t="shared" si="200"/>
        <v>0</v>
      </c>
      <c r="FZ408" s="3">
        <f t="shared" si="200"/>
        <v>0</v>
      </c>
      <c r="GA408" s="3">
        <f t="shared" si="200"/>
        <v>0</v>
      </c>
      <c r="GB408" s="3">
        <f t="shared" si="200"/>
        <v>0</v>
      </c>
      <c r="GC408" s="3">
        <f t="shared" si="200"/>
        <v>0</v>
      </c>
      <c r="GD408" s="3">
        <f t="shared" si="200"/>
        <v>0</v>
      </c>
      <c r="GE408" s="3">
        <f t="shared" si="200"/>
        <v>0</v>
      </c>
      <c r="GF408" s="3">
        <f t="shared" si="200"/>
        <v>0</v>
      </c>
      <c r="GG408" s="3">
        <f t="shared" si="200"/>
        <v>0</v>
      </c>
      <c r="GH408" s="3">
        <f t="shared" si="200"/>
        <v>0</v>
      </c>
      <c r="GI408" s="3">
        <f t="shared" si="200"/>
        <v>0</v>
      </c>
      <c r="GJ408" s="3">
        <f t="shared" si="200"/>
        <v>0</v>
      </c>
      <c r="GK408" s="3">
        <f t="shared" si="200"/>
        <v>0</v>
      </c>
      <c r="GL408" s="3">
        <f t="shared" si="200"/>
        <v>0</v>
      </c>
      <c r="GM408" s="3">
        <f t="shared" si="200"/>
        <v>0</v>
      </c>
      <c r="GN408" s="3">
        <f t="shared" si="200"/>
        <v>0</v>
      </c>
      <c r="GO408" s="3">
        <f t="shared" si="200"/>
        <v>0</v>
      </c>
      <c r="GP408" s="3">
        <f t="shared" si="200"/>
        <v>0</v>
      </c>
      <c r="GQ408" s="3">
        <f t="shared" si="200"/>
        <v>0</v>
      </c>
      <c r="GR408" s="3">
        <f t="shared" si="200"/>
        <v>0</v>
      </c>
      <c r="GS408" s="3">
        <f t="shared" si="200"/>
        <v>0</v>
      </c>
      <c r="GT408" s="3">
        <f t="shared" si="200"/>
        <v>0</v>
      </c>
      <c r="GU408" s="3">
        <f t="shared" si="200"/>
        <v>0</v>
      </c>
      <c r="GV408" s="3">
        <f t="shared" si="200"/>
        <v>0</v>
      </c>
      <c r="GW408" s="3">
        <f t="shared" si="200"/>
        <v>0</v>
      </c>
      <c r="GX408" s="3">
        <f t="shared" si="200"/>
        <v>0</v>
      </c>
    </row>
    <row r="410" spans="1:245" x14ac:dyDescent="0.2">
      <c r="A410">
        <v>17</v>
      </c>
      <c r="B410">
        <v>1</v>
      </c>
      <c r="C410">
        <f>ROW(SmtRes!A219)</f>
        <v>219</v>
      </c>
      <c r="D410">
        <f>ROW(EtalonRes!A194)</f>
        <v>194</v>
      </c>
      <c r="E410" t="s">
        <v>276</v>
      </c>
      <c r="F410" t="s">
        <v>106</v>
      </c>
      <c r="G410" t="s">
        <v>107</v>
      </c>
      <c r="H410" t="s">
        <v>108</v>
      </c>
      <c r="I410">
        <f>ROUND(10.83/100,9)</f>
        <v>0.10829999999999999</v>
      </c>
      <c r="J410">
        <v>0</v>
      </c>
      <c r="O410">
        <f t="shared" ref="O410:O417" si="201">ROUND(CP410,2)</f>
        <v>4543.3</v>
      </c>
      <c r="P410">
        <f t="shared" ref="P410:P417" si="202">ROUND(CQ410*I410,2)</f>
        <v>0</v>
      </c>
      <c r="Q410">
        <f t="shared" ref="Q410:Q417" si="203">ROUND(CR410*I410,2)</f>
        <v>0</v>
      </c>
      <c r="R410">
        <f t="shared" ref="R410:R417" si="204">ROUND(CS410*I410,2)</f>
        <v>0</v>
      </c>
      <c r="S410">
        <f t="shared" ref="S410:S417" si="205">ROUND(CT410*I410,2)</f>
        <v>4543.3</v>
      </c>
      <c r="T410">
        <f t="shared" ref="T410:T417" si="206">ROUND(CU410*I410,2)</f>
        <v>0</v>
      </c>
      <c r="U410">
        <f t="shared" ref="U410:U417" si="207">CV410*I410</f>
        <v>23.999279999999999</v>
      </c>
      <c r="V410">
        <f t="shared" ref="V410:V417" si="208">CW410*I410</f>
        <v>0</v>
      </c>
      <c r="W410">
        <f t="shared" ref="W410:W417" si="209">ROUND(CX410*I410,2)</f>
        <v>0</v>
      </c>
      <c r="X410">
        <f t="shared" ref="X410:Y417" si="210">ROUND(CY410,2)</f>
        <v>3180.31</v>
      </c>
      <c r="Y410">
        <f t="shared" si="210"/>
        <v>454.33</v>
      </c>
      <c r="AA410">
        <v>38799519</v>
      </c>
      <c r="AB410">
        <f t="shared" ref="AB410:AB417" si="211">ROUND((AC410+AD410+AF410),6)</f>
        <v>41951.1</v>
      </c>
      <c r="AC410">
        <f t="shared" ref="AC410:AC417" si="212">ROUND((ES410),6)</f>
        <v>0</v>
      </c>
      <c r="AD410">
        <f t="shared" ref="AD410:AD417" si="213">ROUND((((ET410)-(EU410))+AE410),6)</f>
        <v>0</v>
      </c>
      <c r="AE410">
        <f t="shared" ref="AE410:AF417" si="214">ROUND((EU410),6)</f>
        <v>0</v>
      </c>
      <c r="AF410">
        <f t="shared" si="214"/>
        <v>41951.1</v>
      </c>
      <c r="AG410">
        <f t="shared" ref="AG410:AG417" si="215">ROUND((AP410),6)</f>
        <v>0</v>
      </c>
      <c r="AH410">
        <f t="shared" ref="AH410:AI417" si="216">(EW410)</f>
        <v>221.6</v>
      </c>
      <c r="AI410">
        <f t="shared" si="216"/>
        <v>0</v>
      </c>
      <c r="AJ410">
        <f t="shared" ref="AJ410:AJ417" si="217">(AS410)</f>
        <v>0</v>
      </c>
      <c r="AK410">
        <v>41951.1</v>
      </c>
      <c r="AL410">
        <v>0</v>
      </c>
      <c r="AM410">
        <v>0</v>
      </c>
      <c r="AN410">
        <v>0</v>
      </c>
      <c r="AO410">
        <v>41951.1</v>
      </c>
      <c r="AP410">
        <v>0</v>
      </c>
      <c r="AQ410">
        <v>221.6</v>
      </c>
      <c r="AR410">
        <v>0</v>
      </c>
      <c r="AS410">
        <v>0</v>
      </c>
      <c r="AT410">
        <v>70</v>
      </c>
      <c r="AU410">
        <v>10</v>
      </c>
      <c r="AV410">
        <v>1</v>
      </c>
      <c r="AW410">
        <v>1</v>
      </c>
      <c r="AZ410">
        <v>1</v>
      </c>
      <c r="BA410">
        <v>1</v>
      </c>
      <c r="BB410">
        <v>1</v>
      </c>
      <c r="BC410">
        <v>1</v>
      </c>
      <c r="BD410" t="s">
        <v>3</v>
      </c>
      <c r="BE410" t="s">
        <v>3</v>
      </c>
      <c r="BF410" t="s">
        <v>3</v>
      </c>
      <c r="BG410" t="s">
        <v>3</v>
      </c>
      <c r="BH410">
        <v>0</v>
      </c>
      <c r="BI410">
        <v>4</v>
      </c>
      <c r="BJ410" t="s">
        <v>109</v>
      </c>
      <c r="BM410">
        <v>0</v>
      </c>
      <c r="BN410">
        <v>0</v>
      </c>
      <c r="BO410" t="s">
        <v>3</v>
      </c>
      <c r="BP410">
        <v>0</v>
      </c>
      <c r="BQ410">
        <v>1</v>
      </c>
      <c r="BR410">
        <v>0</v>
      </c>
      <c r="BS410">
        <v>1</v>
      </c>
      <c r="BT410">
        <v>1</v>
      </c>
      <c r="BU410">
        <v>1</v>
      </c>
      <c r="BV410">
        <v>1</v>
      </c>
      <c r="BW410">
        <v>1</v>
      </c>
      <c r="BX410">
        <v>1</v>
      </c>
      <c r="BY410" t="s">
        <v>3</v>
      </c>
      <c r="BZ410">
        <v>70</v>
      </c>
      <c r="CA410">
        <v>10</v>
      </c>
      <c r="CE410">
        <v>0</v>
      </c>
      <c r="CF410">
        <v>0</v>
      </c>
      <c r="CG410">
        <v>0</v>
      </c>
      <c r="CM410">
        <v>0</v>
      </c>
      <c r="CN410" t="s">
        <v>3</v>
      </c>
      <c r="CO410">
        <v>0</v>
      </c>
      <c r="CP410">
        <f t="shared" ref="CP410:CP417" si="218">(P410+Q410+S410)</f>
        <v>4543.3</v>
      </c>
      <c r="CQ410">
        <f t="shared" ref="CQ410:CQ417" si="219">(AC410*BC410*AW410)</f>
        <v>0</v>
      </c>
      <c r="CR410">
        <f t="shared" ref="CR410:CR417" si="220">((((ET410)*BB410-(EU410)*BS410)+AE410*BS410)*AV410)</f>
        <v>0</v>
      </c>
      <c r="CS410">
        <f t="shared" ref="CS410:CS417" si="221">(AE410*BS410*AV410)</f>
        <v>0</v>
      </c>
      <c r="CT410">
        <f t="shared" ref="CT410:CT417" si="222">(AF410*BA410*AV410)</f>
        <v>41951.1</v>
      </c>
      <c r="CU410">
        <f t="shared" ref="CU410:CU417" si="223">AG410</f>
        <v>0</v>
      </c>
      <c r="CV410">
        <f t="shared" ref="CV410:CV417" si="224">(AH410*AV410)</f>
        <v>221.6</v>
      </c>
      <c r="CW410">
        <f t="shared" ref="CW410:CX417" si="225">AI410</f>
        <v>0</v>
      </c>
      <c r="CX410">
        <f t="shared" si="225"/>
        <v>0</v>
      </c>
      <c r="CY410">
        <f t="shared" ref="CY410:CY417" si="226">((S410*BZ410)/100)</f>
        <v>3180.31</v>
      </c>
      <c r="CZ410">
        <f t="shared" ref="CZ410:CZ417" si="227">((S410*CA410)/100)</f>
        <v>454.33</v>
      </c>
      <c r="DC410" t="s">
        <v>3</v>
      </c>
      <c r="DD410" t="s">
        <v>3</v>
      </c>
      <c r="DE410" t="s">
        <v>3</v>
      </c>
      <c r="DF410" t="s">
        <v>3</v>
      </c>
      <c r="DG410" t="s">
        <v>3</v>
      </c>
      <c r="DH410" t="s">
        <v>3</v>
      </c>
      <c r="DI410" t="s">
        <v>3</v>
      </c>
      <c r="DJ410" t="s">
        <v>3</v>
      </c>
      <c r="DK410" t="s">
        <v>3</v>
      </c>
      <c r="DL410" t="s">
        <v>3</v>
      </c>
      <c r="DM410" t="s">
        <v>3</v>
      </c>
      <c r="DN410">
        <v>0</v>
      </c>
      <c r="DO410">
        <v>0</v>
      </c>
      <c r="DP410">
        <v>1</v>
      </c>
      <c r="DQ410">
        <v>1</v>
      </c>
      <c r="DU410">
        <v>1007</v>
      </c>
      <c r="DV410" t="s">
        <v>108</v>
      </c>
      <c r="DW410" t="s">
        <v>108</v>
      </c>
      <c r="DX410">
        <v>100</v>
      </c>
      <c r="EE410">
        <v>38447819</v>
      </c>
      <c r="EF410">
        <v>1</v>
      </c>
      <c r="EG410" t="s">
        <v>23</v>
      </c>
      <c r="EH410">
        <v>0</v>
      </c>
      <c r="EI410" t="s">
        <v>3</v>
      </c>
      <c r="EJ410">
        <v>4</v>
      </c>
      <c r="EK410">
        <v>0</v>
      </c>
      <c r="EL410" t="s">
        <v>24</v>
      </c>
      <c r="EM410" t="s">
        <v>25</v>
      </c>
      <c r="EO410" t="s">
        <v>3</v>
      </c>
      <c r="EQ410">
        <v>0</v>
      </c>
      <c r="ER410">
        <v>41951.1</v>
      </c>
      <c r="ES410">
        <v>0</v>
      </c>
      <c r="ET410">
        <v>0</v>
      </c>
      <c r="EU410">
        <v>0</v>
      </c>
      <c r="EV410">
        <v>41951.1</v>
      </c>
      <c r="EW410">
        <v>221.6</v>
      </c>
      <c r="EX410">
        <v>0</v>
      </c>
      <c r="EY410">
        <v>0</v>
      </c>
      <c r="FQ410">
        <v>0</v>
      </c>
      <c r="FR410">
        <f t="shared" ref="FR410:FR417" si="228">ROUND(IF(AND(BH410=3,BI410=3),P410,0),2)</f>
        <v>0</v>
      </c>
      <c r="FS410">
        <v>0</v>
      </c>
      <c r="FX410">
        <v>70</v>
      </c>
      <c r="FY410">
        <v>10</v>
      </c>
      <c r="GA410" t="s">
        <v>3</v>
      </c>
      <c r="GD410">
        <v>0</v>
      </c>
      <c r="GF410">
        <v>1840361055</v>
      </c>
      <c r="GG410">
        <v>2</v>
      </c>
      <c r="GH410">
        <v>1</v>
      </c>
      <c r="GI410">
        <v>-2</v>
      </c>
      <c r="GJ410">
        <v>0</v>
      </c>
      <c r="GK410">
        <f>ROUND(R410*(R12)/100,2)</f>
        <v>0</v>
      </c>
      <c r="GL410">
        <f t="shared" ref="GL410:GL417" si="229">ROUND(IF(AND(BH410=3,BI410=3,FS410&lt;&gt;0),P410,0),2)</f>
        <v>0</v>
      </c>
      <c r="GM410">
        <f t="shared" ref="GM410:GM417" si="230">ROUND(O410+X410+Y410+GK410,2)+GX410</f>
        <v>8177.94</v>
      </c>
      <c r="GN410">
        <f t="shared" ref="GN410:GN417" si="231">IF(OR(BI410=0,BI410=1),ROUND(O410+X410+Y410+GK410,2),0)</f>
        <v>0</v>
      </c>
      <c r="GO410">
        <f t="shared" ref="GO410:GO417" si="232">IF(BI410=2,ROUND(O410+X410+Y410+GK410,2),0)</f>
        <v>0</v>
      </c>
      <c r="GP410">
        <f t="shared" ref="GP410:GP417" si="233">IF(BI410=4,ROUND(O410+X410+Y410+GK410,2)+GX410,0)</f>
        <v>8177.94</v>
      </c>
      <c r="GR410">
        <v>0</v>
      </c>
      <c r="GS410">
        <v>3</v>
      </c>
      <c r="GT410">
        <v>0</v>
      </c>
      <c r="GU410" t="s">
        <v>3</v>
      </c>
      <c r="GV410">
        <f t="shared" ref="GV410:GV417" si="234">ROUND((GT410),6)</f>
        <v>0</v>
      </c>
      <c r="GW410">
        <v>1</v>
      </c>
      <c r="GX410">
        <f t="shared" ref="GX410:GX417" si="235">ROUND(HC410*I410,2)</f>
        <v>0</v>
      </c>
      <c r="HA410">
        <v>0</v>
      </c>
      <c r="HB410">
        <v>0</v>
      </c>
      <c r="HC410">
        <f t="shared" ref="HC410:HC417" si="236">GV410*GW410</f>
        <v>0</v>
      </c>
      <c r="HE410" t="s">
        <v>3</v>
      </c>
      <c r="HF410" t="s">
        <v>3</v>
      </c>
      <c r="IK410">
        <v>0</v>
      </c>
    </row>
    <row r="411" spans="1:245" x14ac:dyDescent="0.2">
      <c r="A411">
        <v>17</v>
      </c>
      <c r="B411">
        <v>1</v>
      </c>
      <c r="C411">
        <f>ROW(SmtRes!A222)</f>
        <v>222</v>
      </c>
      <c r="D411">
        <f>ROW(EtalonRes!A197)</f>
        <v>197</v>
      </c>
      <c r="E411" t="s">
        <v>277</v>
      </c>
      <c r="F411" t="s">
        <v>111</v>
      </c>
      <c r="G411" t="s">
        <v>112</v>
      </c>
      <c r="H411" t="s">
        <v>108</v>
      </c>
      <c r="I411">
        <f>ROUND(10.83/100,9)</f>
        <v>0.10829999999999999</v>
      </c>
      <c r="J411">
        <v>0</v>
      </c>
      <c r="O411">
        <f t="shared" si="201"/>
        <v>1334.68</v>
      </c>
      <c r="P411">
        <f t="shared" si="202"/>
        <v>0</v>
      </c>
      <c r="Q411">
        <f t="shared" si="203"/>
        <v>1062.76</v>
      </c>
      <c r="R411">
        <f t="shared" si="204"/>
        <v>604.91999999999996</v>
      </c>
      <c r="S411">
        <f t="shared" si="205"/>
        <v>271.92</v>
      </c>
      <c r="T411">
        <f t="shared" si="206"/>
        <v>0</v>
      </c>
      <c r="U411">
        <f t="shared" si="207"/>
        <v>1.345086</v>
      </c>
      <c r="V411">
        <f t="shared" si="208"/>
        <v>0</v>
      </c>
      <c r="W411">
        <f t="shared" si="209"/>
        <v>0</v>
      </c>
      <c r="X411">
        <f t="shared" si="210"/>
        <v>190.34</v>
      </c>
      <c r="Y411">
        <f t="shared" si="210"/>
        <v>27.19</v>
      </c>
      <c r="AA411">
        <v>38799519</v>
      </c>
      <c r="AB411">
        <f t="shared" si="211"/>
        <v>12323.93</v>
      </c>
      <c r="AC411">
        <f t="shared" si="212"/>
        <v>0</v>
      </c>
      <c r="AD411">
        <f t="shared" si="213"/>
        <v>9813.1</v>
      </c>
      <c r="AE411">
        <f t="shared" si="214"/>
        <v>5585.58</v>
      </c>
      <c r="AF411">
        <f t="shared" si="214"/>
        <v>2510.83</v>
      </c>
      <c r="AG411">
        <f t="shared" si="215"/>
        <v>0</v>
      </c>
      <c r="AH411">
        <f t="shared" si="216"/>
        <v>12.42</v>
      </c>
      <c r="AI411">
        <f t="shared" si="216"/>
        <v>0</v>
      </c>
      <c r="AJ411">
        <f t="shared" si="217"/>
        <v>0</v>
      </c>
      <c r="AK411">
        <v>12323.93</v>
      </c>
      <c r="AL411">
        <v>0</v>
      </c>
      <c r="AM411">
        <v>9813.1</v>
      </c>
      <c r="AN411">
        <v>5585.58</v>
      </c>
      <c r="AO411">
        <v>2510.83</v>
      </c>
      <c r="AP411">
        <v>0</v>
      </c>
      <c r="AQ411">
        <v>12.42</v>
      </c>
      <c r="AR411">
        <v>0</v>
      </c>
      <c r="AS411">
        <v>0</v>
      </c>
      <c r="AT411">
        <v>70</v>
      </c>
      <c r="AU411">
        <v>10</v>
      </c>
      <c r="AV411">
        <v>1</v>
      </c>
      <c r="AW411">
        <v>1</v>
      </c>
      <c r="AZ411">
        <v>1</v>
      </c>
      <c r="BA411">
        <v>1</v>
      </c>
      <c r="BB411">
        <v>1</v>
      </c>
      <c r="BC411">
        <v>1</v>
      </c>
      <c r="BD411" t="s">
        <v>3</v>
      </c>
      <c r="BE411" t="s">
        <v>3</v>
      </c>
      <c r="BF411" t="s">
        <v>3</v>
      </c>
      <c r="BG411" t="s">
        <v>3</v>
      </c>
      <c r="BH411">
        <v>0</v>
      </c>
      <c r="BI411">
        <v>4</v>
      </c>
      <c r="BJ411" t="s">
        <v>113</v>
      </c>
      <c r="BM411">
        <v>0</v>
      </c>
      <c r="BN411">
        <v>0</v>
      </c>
      <c r="BO411" t="s">
        <v>3</v>
      </c>
      <c r="BP411">
        <v>0</v>
      </c>
      <c r="BQ411">
        <v>1</v>
      </c>
      <c r="BR411">
        <v>0</v>
      </c>
      <c r="BS411">
        <v>1</v>
      </c>
      <c r="BT411">
        <v>1</v>
      </c>
      <c r="BU411">
        <v>1</v>
      </c>
      <c r="BV411">
        <v>1</v>
      </c>
      <c r="BW411">
        <v>1</v>
      </c>
      <c r="BX411">
        <v>1</v>
      </c>
      <c r="BY411" t="s">
        <v>3</v>
      </c>
      <c r="BZ411">
        <v>70</v>
      </c>
      <c r="CA411">
        <v>10</v>
      </c>
      <c r="CE411">
        <v>0</v>
      </c>
      <c r="CF411">
        <v>0</v>
      </c>
      <c r="CG411">
        <v>0</v>
      </c>
      <c r="CM411">
        <v>0</v>
      </c>
      <c r="CN411" t="s">
        <v>3</v>
      </c>
      <c r="CO411">
        <v>0</v>
      </c>
      <c r="CP411">
        <f t="shared" si="218"/>
        <v>1334.68</v>
      </c>
      <c r="CQ411">
        <f t="shared" si="219"/>
        <v>0</v>
      </c>
      <c r="CR411">
        <f t="shared" si="220"/>
        <v>9813.1</v>
      </c>
      <c r="CS411">
        <f t="shared" si="221"/>
        <v>5585.58</v>
      </c>
      <c r="CT411">
        <f t="shared" si="222"/>
        <v>2510.83</v>
      </c>
      <c r="CU411">
        <f t="shared" si="223"/>
        <v>0</v>
      </c>
      <c r="CV411">
        <f t="shared" si="224"/>
        <v>12.42</v>
      </c>
      <c r="CW411">
        <f t="shared" si="225"/>
        <v>0</v>
      </c>
      <c r="CX411">
        <f t="shared" si="225"/>
        <v>0</v>
      </c>
      <c r="CY411">
        <f t="shared" si="226"/>
        <v>190.34400000000002</v>
      </c>
      <c r="CZ411">
        <f t="shared" si="227"/>
        <v>27.192000000000004</v>
      </c>
      <c r="DC411" t="s">
        <v>3</v>
      </c>
      <c r="DD411" t="s">
        <v>3</v>
      </c>
      <c r="DE411" t="s">
        <v>3</v>
      </c>
      <c r="DF411" t="s">
        <v>3</v>
      </c>
      <c r="DG411" t="s">
        <v>3</v>
      </c>
      <c r="DH411" t="s">
        <v>3</v>
      </c>
      <c r="DI411" t="s">
        <v>3</v>
      </c>
      <c r="DJ411" t="s">
        <v>3</v>
      </c>
      <c r="DK411" t="s">
        <v>3</v>
      </c>
      <c r="DL411" t="s">
        <v>3</v>
      </c>
      <c r="DM411" t="s">
        <v>3</v>
      </c>
      <c r="DN411">
        <v>0</v>
      </c>
      <c r="DO411">
        <v>0</v>
      </c>
      <c r="DP411">
        <v>1</v>
      </c>
      <c r="DQ411">
        <v>1</v>
      </c>
      <c r="DU411">
        <v>1007</v>
      </c>
      <c r="DV411" t="s">
        <v>108</v>
      </c>
      <c r="DW411" t="s">
        <v>108</v>
      </c>
      <c r="DX411">
        <v>100</v>
      </c>
      <c r="EE411">
        <v>38447819</v>
      </c>
      <c r="EF411">
        <v>1</v>
      </c>
      <c r="EG411" t="s">
        <v>23</v>
      </c>
      <c r="EH411">
        <v>0</v>
      </c>
      <c r="EI411" t="s">
        <v>3</v>
      </c>
      <c r="EJ411">
        <v>4</v>
      </c>
      <c r="EK411">
        <v>0</v>
      </c>
      <c r="EL411" t="s">
        <v>24</v>
      </c>
      <c r="EM411" t="s">
        <v>25</v>
      </c>
      <c r="EO411" t="s">
        <v>3</v>
      </c>
      <c r="EQ411">
        <v>0</v>
      </c>
      <c r="ER411">
        <v>12323.93</v>
      </c>
      <c r="ES411">
        <v>0</v>
      </c>
      <c r="ET411">
        <v>9813.1</v>
      </c>
      <c r="EU411">
        <v>5585.58</v>
      </c>
      <c r="EV411">
        <v>2510.83</v>
      </c>
      <c r="EW411">
        <v>12.42</v>
      </c>
      <c r="EX411">
        <v>0</v>
      </c>
      <c r="EY411">
        <v>0</v>
      </c>
      <c r="FQ411">
        <v>0</v>
      </c>
      <c r="FR411">
        <f t="shared" si="228"/>
        <v>0</v>
      </c>
      <c r="FS411">
        <v>0</v>
      </c>
      <c r="FX411">
        <v>70</v>
      </c>
      <c r="FY411">
        <v>10</v>
      </c>
      <c r="GA411" t="s">
        <v>3</v>
      </c>
      <c r="GD411">
        <v>0</v>
      </c>
      <c r="GF411">
        <v>2042491532</v>
      </c>
      <c r="GG411">
        <v>2</v>
      </c>
      <c r="GH411">
        <v>1</v>
      </c>
      <c r="GI411">
        <v>-2</v>
      </c>
      <c r="GJ411">
        <v>0</v>
      </c>
      <c r="GK411">
        <f>ROUND(R411*(R12)/100,2)</f>
        <v>653.30999999999995</v>
      </c>
      <c r="GL411">
        <f t="shared" si="229"/>
        <v>0</v>
      </c>
      <c r="GM411">
        <f t="shared" si="230"/>
        <v>2205.52</v>
      </c>
      <c r="GN411">
        <f t="shared" si="231"/>
        <v>0</v>
      </c>
      <c r="GO411">
        <f t="shared" si="232"/>
        <v>0</v>
      </c>
      <c r="GP411">
        <f t="shared" si="233"/>
        <v>2205.52</v>
      </c>
      <c r="GR411">
        <v>0</v>
      </c>
      <c r="GS411">
        <v>3</v>
      </c>
      <c r="GT411">
        <v>0</v>
      </c>
      <c r="GU411" t="s">
        <v>3</v>
      </c>
      <c r="GV411">
        <f t="shared" si="234"/>
        <v>0</v>
      </c>
      <c r="GW411">
        <v>1</v>
      </c>
      <c r="GX411">
        <f t="shared" si="235"/>
        <v>0</v>
      </c>
      <c r="HA411">
        <v>0</v>
      </c>
      <c r="HB411">
        <v>0</v>
      </c>
      <c r="HC411">
        <f t="shared" si="236"/>
        <v>0</v>
      </c>
      <c r="HE411" t="s">
        <v>3</v>
      </c>
      <c r="HF411" t="s">
        <v>3</v>
      </c>
      <c r="IK411">
        <v>0</v>
      </c>
    </row>
    <row r="412" spans="1:245" x14ac:dyDescent="0.2">
      <c r="A412">
        <v>17</v>
      </c>
      <c r="B412">
        <v>1</v>
      </c>
      <c r="C412">
        <f>ROW(SmtRes!A226)</f>
        <v>226</v>
      </c>
      <c r="D412">
        <f>ROW(EtalonRes!A201)</f>
        <v>201</v>
      </c>
      <c r="E412" t="s">
        <v>278</v>
      </c>
      <c r="F412" t="s">
        <v>115</v>
      </c>
      <c r="G412" t="s">
        <v>116</v>
      </c>
      <c r="H412" t="s">
        <v>35</v>
      </c>
      <c r="I412">
        <v>8.67</v>
      </c>
      <c r="J412">
        <v>0</v>
      </c>
      <c r="O412">
        <f t="shared" si="201"/>
        <v>14361.77</v>
      </c>
      <c r="P412">
        <f t="shared" si="202"/>
        <v>5736.68</v>
      </c>
      <c r="Q412">
        <f t="shared" si="203"/>
        <v>2464.19</v>
      </c>
      <c r="R412">
        <f t="shared" si="204"/>
        <v>1402.63</v>
      </c>
      <c r="S412">
        <f t="shared" si="205"/>
        <v>6160.9</v>
      </c>
      <c r="T412">
        <f t="shared" si="206"/>
        <v>0</v>
      </c>
      <c r="U412">
        <f t="shared" si="207"/>
        <v>29.8248</v>
      </c>
      <c r="V412">
        <f t="shared" si="208"/>
        <v>0</v>
      </c>
      <c r="W412">
        <f t="shared" si="209"/>
        <v>0</v>
      </c>
      <c r="X412">
        <f t="shared" si="210"/>
        <v>4312.63</v>
      </c>
      <c r="Y412">
        <f t="shared" si="210"/>
        <v>616.09</v>
      </c>
      <c r="AA412">
        <v>38799519</v>
      </c>
      <c r="AB412">
        <f t="shared" si="211"/>
        <v>1656.49</v>
      </c>
      <c r="AC412">
        <f t="shared" si="212"/>
        <v>661.67</v>
      </c>
      <c r="AD412">
        <f t="shared" si="213"/>
        <v>284.22000000000003</v>
      </c>
      <c r="AE412">
        <f t="shared" si="214"/>
        <v>161.78</v>
      </c>
      <c r="AF412">
        <f t="shared" si="214"/>
        <v>710.6</v>
      </c>
      <c r="AG412">
        <f t="shared" si="215"/>
        <v>0</v>
      </c>
      <c r="AH412">
        <f t="shared" si="216"/>
        <v>3.44</v>
      </c>
      <c r="AI412">
        <f t="shared" si="216"/>
        <v>0</v>
      </c>
      <c r="AJ412">
        <f t="shared" si="217"/>
        <v>0</v>
      </c>
      <c r="AK412">
        <v>1656.49</v>
      </c>
      <c r="AL412">
        <v>661.67</v>
      </c>
      <c r="AM412">
        <v>284.22000000000003</v>
      </c>
      <c r="AN412">
        <v>161.78</v>
      </c>
      <c r="AO412">
        <v>710.6</v>
      </c>
      <c r="AP412">
        <v>0</v>
      </c>
      <c r="AQ412">
        <v>3.44</v>
      </c>
      <c r="AR412">
        <v>0</v>
      </c>
      <c r="AS412">
        <v>0</v>
      </c>
      <c r="AT412">
        <v>70</v>
      </c>
      <c r="AU412">
        <v>10</v>
      </c>
      <c r="AV412">
        <v>1</v>
      </c>
      <c r="AW412">
        <v>1</v>
      </c>
      <c r="AZ412">
        <v>1</v>
      </c>
      <c r="BA412">
        <v>1</v>
      </c>
      <c r="BB412">
        <v>1</v>
      </c>
      <c r="BC412">
        <v>1</v>
      </c>
      <c r="BD412" t="s">
        <v>3</v>
      </c>
      <c r="BE412" t="s">
        <v>3</v>
      </c>
      <c r="BF412" t="s">
        <v>3</v>
      </c>
      <c r="BG412" t="s">
        <v>3</v>
      </c>
      <c r="BH412">
        <v>0</v>
      </c>
      <c r="BI412">
        <v>4</v>
      </c>
      <c r="BJ412" t="s">
        <v>117</v>
      </c>
      <c r="BM412">
        <v>0</v>
      </c>
      <c r="BN412">
        <v>0</v>
      </c>
      <c r="BO412" t="s">
        <v>3</v>
      </c>
      <c r="BP412">
        <v>0</v>
      </c>
      <c r="BQ412">
        <v>1</v>
      </c>
      <c r="BR412">
        <v>0</v>
      </c>
      <c r="BS412">
        <v>1</v>
      </c>
      <c r="BT412">
        <v>1</v>
      </c>
      <c r="BU412">
        <v>1</v>
      </c>
      <c r="BV412">
        <v>1</v>
      </c>
      <c r="BW412">
        <v>1</v>
      </c>
      <c r="BX412">
        <v>1</v>
      </c>
      <c r="BY412" t="s">
        <v>3</v>
      </c>
      <c r="BZ412">
        <v>70</v>
      </c>
      <c r="CA412">
        <v>10</v>
      </c>
      <c r="CE412">
        <v>0</v>
      </c>
      <c r="CF412">
        <v>0</v>
      </c>
      <c r="CG412">
        <v>0</v>
      </c>
      <c r="CM412">
        <v>0</v>
      </c>
      <c r="CN412" t="s">
        <v>3</v>
      </c>
      <c r="CO412">
        <v>0</v>
      </c>
      <c r="CP412">
        <f t="shared" si="218"/>
        <v>14361.77</v>
      </c>
      <c r="CQ412">
        <f t="shared" si="219"/>
        <v>661.67</v>
      </c>
      <c r="CR412">
        <f t="shared" si="220"/>
        <v>284.22000000000003</v>
      </c>
      <c r="CS412">
        <f t="shared" si="221"/>
        <v>161.78</v>
      </c>
      <c r="CT412">
        <f t="shared" si="222"/>
        <v>710.6</v>
      </c>
      <c r="CU412">
        <f t="shared" si="223"/>
        <v>0</v>
      </c>
      <c r="CV412">
        <f t="shared" si="224"/>
        <v>3.44</v>
      </c>
      <c r="CW412">
        <f t="shared" si="225"/>
        <v>0</v>
      </c>
      <c r="CX412">
        <f t="shared" si="225"/>
        <v>0</v>
      </c>
      <c r="CY412">
        <f t="shared" si="226"/>
        <v>4312.63</v>
      </c>
      <c r="CZ412">
        <f t="shared" si="227"/>
        <v>616.09</v>
      </c>
      <c r="DC412" t="s">
        <v>3</v>
      </c>
      <c r="DD412" t="s">
        <v>3</v>
      </c>
      <c r="DE412" t="s">
        <v>3</v>
      </c>
      <c r="DF412" t="s">
        <v>3</v>
      </c>
      <c r="DG412" t="s">
        <v>3</v>
      </c>
      <c r="DH412" t="s">
        <v>3</v>
      </c>
      <c r="DI412" t="s">
        <v>3</v>
      </c>
      <c r="DJ412" t="s">
        <v>3</v>
      </c>
      <c r="DK412" t="s">
        <v>3</v>
      </c>
      <c r="DL412" t="s">
        <v>3</v>
      </c>
      <c r="DM412" t="s">
        <v>3</v>
      </c>
      <c r="DN412">
        <v>0</v>
      </c>
      <c r="DO412">
        <v>0</v>
      </c>
      <c r="DP412">
        <v>1</v>
      </c>
      <c r="DQ412">
        <v>1</v>
      </c>
      <c r="DU412">
        <v>1007</v>
      </c>
      <c r="DV412" t="s">
        <v>35</v>
      </c>
      <c r="DW412" t="s">
        <v>35</v>
      </c>
      <c r="DX412">
        <v>1</v>
      </c>
      <c r="EE412">
        <v>38447819</v>
      </c>
      <c r="EF412">
        <v>1</v>
      </c>
      <c r="EG412" t="s">
        <v>23</v>
      </c>
      <c r="EH412">
        <v>0</v>
      </c>
      <c r="EI412" t="s">
        <v>3</v>
      </c>
      <c r="EJ412">
        <v>4</v>
      </c>
      <c r="EK412">
        <v>0</v>
      </c>
      <c r="EL412" t="s">
        <v>24</v>
      </c>
      <c r="EM412" t="s">
        <v>25</v>
      </c>
      <c r="EO412" t="s">
        <v>3</v>
      </c>
      <c r="EQ412">
        <v>0</v>
      </c>
      <c r="ER412">
        <v>1656.49</v>
      </c>
      <c r="ES412">
        <v>661.67</v>
      </c>
      <c r="ET412">
        <v>284.22000000000003</v>
      </c>
      <c r="EU412">
        <v>161.78</v>
      </c>
      <c r="EV412">
        <v>710.6</v>
      </c>
      <c r="EW412">
        <v>3.44</v>
      </c>
      <c r="EX412">
        <v>0</v>
      </c>
      <c r="EY412">
        <v>0</v>
      </c>
      <c r="FQ412">
        <v>0</v>
      </c>
      <c r="FR412">
        <f t="shared" si="228"/>
        <v>0</v>
      </c>
      <c r="FS412">
        <v>0</v>
      </c>
      <c r="FX412">
        <v>70</v>
      </c>
      <c r="FY412">
        <v>10</v>
      </c>
      <c r="GA412" t="s">
        <v>3</v>
      </c>
      <c r="GD412">
        <v>0</v>
      </c>
      <c r="GF412">
        <v>682657772</v>
      </c>
      <c r="GG412">
        <v>2</v>
      </c>
      <c r="GH412">
        <v>1</v>
      </c>
      <c r="GI412">
        <v>-2</v>
      </c>
      <c r="GJ412">
        <v>0</v>
      </c>
      <c r="GK412">
        <f>ROUND(R412*(R12)/100,2)</f>
        <v>1514.84</v>
      </c>
      <c r="GL412">
        <f t="shared" si="229"/>
        <v>0</v>
      </c>
      <c r="GM412">
        <f t="shared" si="230"/>
        <v>20805.330000000002</v>
      </c>
      <c r="GN412">
        <f t="shared" si="231"/>
        <v>0</v>
      </c>
      <c r="GO412">
        <f t="shared" si="232"/>
        <v>0</v>
      </c>
      <c r="GP412">
        <f t="shared" si="233"/>
        <v>20805.330000000002</v>
      </c>
      <c r="GR412">
        <v>0</v>
      </c>
      <c r="GS412">
        <v>3</v>
      </c>
      <c r="GT412">
        <v>0</v>
      </c>
      <c r="GU412" t="s">
        <v>3</v>
      </c>
      <c r="GV412">
        <f t="shared" si="234"/>
        <v>0</v>
      </c>
      <c r="GW412">
        <v>1</v>
      </c>
      <c r="GX412">
        <f t="shared" si="235"/>
        <v>0</v>
      </c>
      <c r="HA412">
        <v>0</v>
      </c>
      <c r="HB412">
        <v>0</v>
      </c>
      <c r="HC412">
        <f t="shared" si="236"/>
        <v>0</v>
      </c>
      <c r="HE412" t="s">
        <v>3</v>
      </c>
      <c r="HF412" t="s">
        <v>3</v>
      </c>
      <c r="IK412">
        <v>0</v>
      </c>
    </row>
    <row r="413" spans="1:245" x14ac:dyDescent="0.2">
      <c r="A413">
        <v>17</v>
      </c>
      <c r="B413">
        <v>1</v>
      </c>
      <c r="C413">
        <f>ROW(SmtRes!A230)</f>
        <v>230</v>
      </c>
      <c r="D413">
        <f>ROW(EtalonRes!A204)</f>
        <v>204</v>
      </c>
      <c r="E413" t="s">
        <v>279</v>
      </c>
      <c r="F413" t="s">
        <v>119</v>
      </c>
      <c r="G413" t="s">
        <v>120</v>
      </c>
      <c r="H413" t="s">
        <v>121</v>
      </c>
      <c r="I413">
        <v>57.8</v>
      </c>
      <c r="J413">
        <v>0</v>
      </c>
      <c r="O413">
        <f t="shared" si="201"/>
        <v>34004.31</v>
      </c>
      <c r="P413">
        <f t="shared" si="202"/>
        <v>17387.97</v>
      </c>
      <c r="Q413">
        <f t="shared" si="203"/>
        <v>0</v>
      </c>
      <c r="R413">
        <f t="shared" si="204"/>
        <v>0</v>
      </c>
      <c r="S413">
        <f t="shared" si="205"/>
        <v>16616.34</v>
      </c>
      <c r="T413">
        <f t="shared" si="206"/>
        <v>0</v>
      </c>
      <c r="U413">
        <f t="shared" si="207"/>
        <v>66.469999999999985</v>
      </c>
      <c r="V413">
        <f t="shared" si="208"/>
        <v>0</v>
      </c>
      <c r="W413">
        <f t="shared" si="209"/>
        <v>0</v>
      </c>
      <c r="X413">
        <f t="shared" si="210"/>
        <v>11631.44</v>
      </c>
      <c r="Y413">
        <f t="shared" si="210"/>
        <v>1661.63</v>
      </c>
      <c r="AA413">
        <v>38799519</v>
      </c>
      <c r="AB413">
        <f t="shared" si="211"/>
        <v>588.30999999999995</v>
      </c>
      <c r="AC413">
        <f t="shared" si="212"/>
        <v>300.83</v>
      </c>
      <c r="AD413">
        <f t="shared" si="213"/>
        <v>0</v>
      </c>
      <c r="AE413">
        <f t="shared" si="214"/>
        <v>0</v>
      </c>
      <c r="AF413">
        <f t="shared" si="214"/>
        <v>287.48</v>
      </c>
      <c r="AG413">
        <f t="shared" si="215"/>
        <v>0</v>
      </c>
      <c r="AH413">
        <f t="shared" si="216"/>
        <v>1.1499999999999999</v>
      </c>
      <c r="AI413">
        <f t="shared" si="216"/>
        <v>0</v>
      </c>
      <c r="AJ413">
        <f t="shared" si="217"/>
        <v>0</v>
      </c>
      <c r="AK413">
        <v>588.30999999999995</v>
      </c>
      <c r="AL413">
        <v>300.83</v>
      </c>
      <c r="AM413">
        <v>0</v>
      </c>
      <c r="AN413">
        <v>0</v>
      </c>
      <c r="AO413">
        <v>287.48</v>
      </c>
      <c r="AP413">
        <v>0</v>
      </c>
      <c r="AQ413">
        <v>1.1499999999999999</v>
      </c>
      <c r="AR413">
        <v>0</v>
      </c>
      <c r="AS413">
        <v>0</v>
      </c>
      <c r="AT413">
        <v>70</v>
      </c>
      <c r="AU413">
        <v>10</v>
      </c>
      <c r="AV413">
        <v>1</v>
      </c>
      <c r="AW413">
        <v>1</v>
      </c>
      <c r="AZ413">
        <v>1</v>
      </c>
      <c r="BA413">
        <v>1</v>
      </c>
      <c r="BB413">
        <v>1</v>
      </c>
      <c r="BC413">
        <v>1</v>
      </c>
      <c r="BD413" t="s">
        <v>3</v>
      </c>
      <c r="BE413" t="s">
        <v>3</v>
      </c>
      <c r="BF413" t="s">
        <v>3</v>
      </c>
      <c r="BG413" t="s">
        <v>3</v>
      </c>
      <c r="BH413">
        <v>0</v>
      </c>
      <c r="BI413">
        <v>4</v>
      </c>
      <c r="BJ413" t="s">
        <v>122</v>
      </c>
      <c r="BM413">
        <v>0</v>
      </c>
      <c r="BN413">
        <v>0</v>
      </c>
      <c r="BO413" t="s">
        <v>3</v>
      </c>
      <c r="BP413">
        <v>0</v>
      </c>
      <c r="BQ413">
        <v>1</v>
      </c>
      <c r="BR413">
        <v>0</v>
      </c>
      <c r="BS413">
        <v>1</v>
      </c>
      <c r="BT413">
        <v>1</v>
      </c>
      <c r="BU413">
        <v>1</v>
      </c>
      <c r="BV413">
        <v>1</v>
      </c>
      <c r="BW413">
        <v>1</v>
      </c>
      <c r="BX413">
        <v>1</v>
      </c>
      <c r="BY413" t="s">
        <v>3</v>
      </c>
      <c r="BZ413">
        <v>70</v>
      </c>
      <c r="CA413">
        <v>10</v>
      </c>
      <c r="CE413">
        <v>0</v>
      </c>
      <c r="CF413">
        <v>0</v>
      </c>
      <c r="CG413">
        <v>0</v>
      </c>
      <c r="CM413">
        <v>0</v>
      </c>
      <c r="CN413" t="s">
        <v>3</v>
      </c>
      <c r="CO413">
        <v>0</v>
      </c>
      <c r="CP413">
        <f t="shared" si="218"/>
        <v>34004.31</v>
      </c>
      <c r="CQ413">
        <f t="shared" si="219"/>
        <v>300.83</v>
      </c>
      <c r="CR413">
        <f t="shared" si="220"/>
        <v>0</v>
      </c>
      <c r="CS413">
        <f t="shared" si="221"/>
        <v>0</v>
      </c>
      <c r="CT413">
        <f t="shared" si="222"/>
        <v>287.48</v>
      </c>
      <c r="CU413">
        <f t="shared" si="223"/>
        <v>0</v>
      </c>
      <c r="CV413">
        <f t="shared" si="224"/>
        <v>1.1499999999999999</v>
      </c>
      <c r="CW413">
        <f t="shared" si="225"/>
        <v>0</v>
      </c>
      <c r="CX413">
        <f t="shared" si="225"/>
        <v>0</v>
      </c>
      <c r="CY413">
        <f t="shared" si="226"/>
        <v>11631.438</v>
      </c>
      <c r="CZ413">
        <f t="shared" si="227"/>
        <v>1661.634</v>
      </c>
      <c r="DC413" t="s">
        <v>3</v>
      </c>
      <c r="DD413" t="s">
        <v>3</v>
      </c>
      <c r="DE413" t="s">
        <v>3</v>
      </c>
      <c r="DF413" t="s">
        <v>3</v>
      </c>
      <c r="DG413" t="s">
        <v>3</v>
      </c>
      <c r="DH413" t="s">
        <v>3</v>
      </c>
      <c r="DI413" t="s">
        <v>3</v>
      </c>
      <c r="DJ413" t="s">
        <v>3</v>
      </c>
      <c r="DK413" t="s">
        <v>3</v>
      </c>
      <c r="DL413" t="s">
        <v>3</v>
      </c>
      <c r="DM413" t="s">
        <v>3</v>
      </c>
      <c r="DN413">
        <v>0</v>
      </c>
      <c r="DO413">
        <v>0</v>
      </c>
      <c r="DP413">
        <v>1</v>
      </c>
      <c r="DQ413">
        <v>1</v>
      </c>
      <c r="DU413">
        <v>1003</v>
      </c>
      <c r="DV413" t="s">
        <v>121</v>
      </c>
      <c r="DW413" t="s">
        <v>121</v>
      </c>
      <c r="DX413">
        <v>1</v>
      </c>
      <c r="EE413">
        <v>38447819</v>
      </c>
      <c r="EF413">
        <v>1</v>
      </c>
      <c r="EG413" t="s">
        <v>23</v>
      </c>
      <c r="EH413">
        <v>0</v>
      </c>
      <c r="EI413" t="s">
        <v>3</v>
      </c>
      <c r="EJ413">
        <v>4</v>
      </c>
      <c r="EK413">
        <v>0</v>
      </c>
      <c r="EL413" t="s">
        <v>24</v>
      </c>
      <c r="EM413" t="s">
        <v>25</v>
      </c>
      <c r="EO413" t="s">
        <v>3</v>
      </c>
      <c r="EQ413">
        <v>0</v>
      </c>
      <c r="ER413">
        <v>588.30999999999995</v>
      </c>
      <c r="ES413">
        <v>300.83</v>
      </c>
      <c r="ET413">
        <v>0</v>
      </c>
      <c r="EU413">
        <v>0</v>
      </c>
      <c r="EV413">
        <v>287.48</v>
      </c>
      <c r="EW413">
        <v>1.1499999999999999</v>
      </c>
      <c r="EX413">
        <v>0</v>
      </c>
      <c r="EY413">
        <v>0</v>
      </c>
      <c r="FQ413">
        <v>0</v>
      </c>
      <c r="FR413">
        <f t="shared" si="228"/>
        <v>0</v>
      </c>
      <c r="FS413">
        <v>0</v>
      </c>
      <c r="FX413">
        <v>70</v>
      </c>
      <c r="FY413">
        <v>10</v>
      </c>
      <c r="GA413" t="s">
        <v>3</v>
      </c>
      <c r="GD413">
        <v>0</v>
      </c>
      <c r="GF413">
        <v>667873665</v>
      </c>
      <c r="GG413">
        <v>2</v>
      </c>
      <c r="GH413">
        <v>1</v>
      </c>
      <c r="GI413">
        <v>-2</v>
      </c>
      <c r="GJ413">
        <v>0</v>
      </c>
      <c r="GK413">
        <f>ROUND(R413*(R12)/100,2)</f>
        <v>0</v>
      </c>
      <c r="GL413">
        <f t="shared" si="229"/>
        <v>0</v>
      </c>
      <c r="GM413">
        <f t="shared" si="230"/>
        <v>47297.38</v>
      </c>
      <c r="GN413">
        <f t="shared" si="231"/>
        <v>0</v>
      </c>
      <c r="GO413">
        <f t="shared" si="232"/>
        <v>0</v>
      </c>
      <c r="GP413">
        <f t="shared" si="233"/>
        <v>47297.38</v>
      </c>
      <c r="GR413">
        <v>0</v>
      </c>
      <c r="GS413">
        <v>3</v>
      </c>
      <c r="GT413">
        <v>0</v>
      </c>
      <c r="GU413" t="s">
        <v>3</v>
      </c>
      <c r="GV413">
        <f t="shared" si="234"/>
        <v>0</v>
      </c>
      <c r="GW413">
        <v>1</v>
      </c>
      <c r="GX413">
        <f t="shared" si="235"/>
        <v>0</v>
      </c>
      <c r="HA413">
        <v>0</v>
      </c>
      <c r="HB413">
        <v>0</v>
      </c>
      <c r="HC413">
        <f t="shared" si="236"/>
        <v>0</v>
      </c>
      <c r="HE413" t="s">
        <v>3</v>
      </c>
      <c r="HF413" t="s">
        <v>3</v>
      </c>
      <c r="IK413">
        <v>0</v>
      </c>
    </row>
    <row r="414" spans="1:245" x14ac:dyDescent="0.2">
      <c r="A414">
        <v>18</v>
      </c>
      <c r="B414">
        <v>1</v>
      </c>
      <c r="C414">
        <v>230</v>
      </c>
      <c r="E414" t="s">
        <v>280</v>
      </c>
      <c r="F414" t="s">
        <v>124</v>
      </c>
      <c r="G414" t="s">
        <v>125</v>
      </c>
      <c r="H414" t="s">
        <v>35</v>
      </c>
      <c r="I414">
        <f>I413*J414</f>
        <v>0.57799999999999996</v>
      </c>
      <c r="J414">
        <v>0.01</v>
      </c>
      <c r="O414">
        <f t="shared" si="201"/>
        <v>5210.6099999999997</v>
      </c>
      <c r="P414">
        <f t="shared" si="202"/>
        <v>5210.6099999999997</v>
      </c>
      <c r="Q414">
        <f t="shared" si="203"/>
        <v>0</v>
      </c>
      <c r="R414">
        <f t="shared" si="204"/>
        <v>0</v>
      </c>
      <c r="S414">
        <f t="shared" si="205"/>
        <v>0</v>
      </c>
      <c r="T414">
        <f t="shared" si="206"/>
        <v>0</v>
      </c>
      <c r="U414">
        <f t="shared" si="207"/>
        <v>0</v>
      </c>
      <c r="V414">
        <f t="shared" si="208"/>
        <v>0</v>
      </c>
      <c r="W414">
        <f t="shared" si="209"/>
        <v>0</v>
      </c>
      <c r="X414">
        <f t="shared" si="210"/>
        <v>0</v>
      </c>
      <c r="Y414">
        <f t="shared" si="210"/>
        <v>0</v>
      </c>
      <c r="AA414">
        <v>38799519</v>
      </c>
      <c r="AB414">
        <f t="shared" si="211"/>
        <v>9014.9</v>
      </c>
      <c r="AC414">
        <f t="shared" si="212"/>
        <v>9014.9</v>
      </c>
      <c r="AD414">
        <f t="shared" si="213"/>
        <v>0</v>
      </c>
      <c r="AE414">
        <f t="shared" si="214"/>
        <v>0</v>
      </c>
      <c r="AF414">
        <f t="shared" si="214"/>
        <v>0</v>
      </c>
      <c r="AG414">
        <f t="shared" si="215"/>
        <v>0</v>
      </c>
      <c r="AH414">
        <f t="shared" si="216"/>
        <v>0</v>
      </c>
      <c r="AI414">
        <f t="shared" si="216"/>
        <v>0</v>
      </c>
      <c r="AJ414">
        <f t="shared" si="217"/>
        <v>0</v>
      </c>
      <c r="AK414">
        <v>9014.9</v>
      </c>
      <c r="AL414">
        <v>9014.9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70</v>
      </c>
      <c r="AU414">
        <v>10</v>
      </c>
      <c r="AV414">
        <v>1</v>
      </c>
      <c r="AW414">
        <v>1</v>
      </c>
      <c r="AZ414">
        <v>1</v>
      </c>
      <c r="BA414">
        <v>1</v>
      </c>
      <c r="BB414">
        <v>1</v>
      </c>
      <c r="BC414">
        <v>1</v>
      </c>
      <c r="BD414" t="s">
        <v>3</v>
      </c>
      <c r="BE414" t="s">
        <v>3</v>
      </c>
      <c r="BF414" t="s">
        <v>3</v>
      </c>
      <c r="BG414" t="s">
        <v>3</v>
      </c>
      <c r="BH414">
        <v>3</v>
      </c>
      <c r="BI414">
        <v>4</v>
      </c>
      <c r="BJ414" t="s">
        <v>126</v>
      </c>
      <c r="BM414">
        <v>0</v>
      </c>
      <c r="BN414">
        <v>0</v>
      </c>
      <c r="BO414" t="s">
        <v>3</v>
      </c>
      <c r="BP414">
        <v>0</v>
      </c>
      <c r="BQ414">
        <v>1</v>
      </c>
      <c r="BR414">
        <v>0</v>
      </c>
      <c r="BS414">
        <v>1</v>
      </c>
      <c r="BT414">
        <v>1</v>
      </c>
      <c r="BU414">
        <v>1</v>
      </c>
      <c r="BV414">
        <v>1</v>
      </c>
      <c r="BW414">
        <v>1</v>
      </c>
      <c r="BX414">
        <v>1</v>
      </c>
      <c r="BY414" t="s">
        <v>3</v>
      </c>
      <c r="BZ414">
        <v>70</v>
      </c>
      <c r="CA414">
        <v>10</v>
      </c>
      <c r="CE414">
        <v>0</v>
      </c>
      <c r="CF414">
        <v>0</v>
      </c>
      <c r="CG414">
        <v>0</v>
      </c>
      <c r="CM414">
        <v>0</v>
      </c>
      <c r="CN414" t="s">
        <v>3</v>
      </c>
      <c r="CO414">
        <v>0</v>
      </c>
      <c r="CP414">
        <f t="shared" si="218"/>
        <v>5210.6099999999997</v>
      </c>
      <c r="CQ414">
        <f t="shared" si="219"/>
        <v>9014.9</v>
      </c>
      <c r="CR414">
        <f t="shared" si="220"/>
        <v>0</v>
      </c>
      <c r="CS414">
        <f t="shared" si="221"/>
        <v>0</v>
      </c>
      <c r="CT414">
        <f t="shared" si="222"/>
        <v>0</v>
      </c>
      <c r="CU414">
        <f t="shared" si="223"/>
        <v>0</v>
      </c>
      <c r="CV414">
        <f t="shared" si="224"/>
        <v>0</v>
      </c>
      <c r="CW414">
        <f t="shared" si="225"/>
        <v>0</v>
      </c>
      <c r="CX414">
        <f t="shared" si="225"/>
        <v>0</v>
      </c>
      <c r="CY414">
        <f t="shared" si="226"/>
        <v>0</v>
      </c>
      <c r="CZ414">
        <f t="shared" si="227"/>
        <v>0</v>
      </c>
      <c r="DC414" t="s">
        <v>3</v>
      </c>
      <c r="DD414" t="s">
        <v>3</v>
      </c>
      <c r="DE414" t="s">
        <v>3</v>
      </c>
      <c r="DF414" t="s">
        <v>3</v>
      </c>
      <c r="DG414" t="s">
        <v>3</v>
      </c>
      <c r="DH414" t="s">
        <v>3</v>
      </c>
      <c r="DI414" t="s">
        <v>3</v>
      </c>
      <c r="DJ414" t="s">
        <v>3</v>
      </c>
      <c r="DK414" t="s">
        <v>3</v>
      </c>
      <c r="DL414" t="s">
        <v>3</v>
      </c>
      <c r="DM414" t="s">
        <v>3</v>
      </c>
      <c r="DN414">
        <v>0</v>
      </c>
      <c r="DO414">
        <v>0</v>
      </c>
      <c r="DP414">
        <v>1</v>
      </c>
      <c r="DQ414">
        <v>1</v>
      </c>
      <c r="DU414">
        <v>1007</v>
      </c>
      <c r="DV414" t="s">
        <v>35</v>
      </c>
      <c r="DW414" t="s">
        <v>35</v>
      </c>
      <c r="DX414">
        <v>1</v>
      </c>
      <c r="EE414">
        <v>38447819</v>
      </c>
      <c r="EF414">
        <v>1</v>
      </c>
      <c r="EG414" t="s">
        <v>23</v>
      </c>
      <c r="EH414">
        <v>0</v>
      </c>
      <c r="EI414" t="s">
        <v>3</v>
      </c>
      <c r="EJ414">
        <v>4</v>
      </c>
      <c r="EK414">
        <v>0</v>
      </c>
      <c r="EL414" t="s">
        <v>24</v>
      </c>
      <c r="EM414" t="s">
        <v>25</v>
      </c>
      <c r="EO414" t="s">
        <v>3</v>
      </c>
      <c r="EQ414">
        <v>0</v>
      </c>
      <c r="ER414">
        <v>9014.9</v>
      </c>
      <c r="ES414">
        <v>9014.9</v>
      </c>
      <c r="ET414">
        <v>0</v>
      </c>
      <c r="EU414">
        <v>0</v>
      </c>
      <c r="EV414">
        <v>0</v>
      </c>
      <c r="EW414">
        <v>0</v>
      </c>
      <c r="EX414">
        <v>0</v>
      </c>
      <c r="FQ414">
        <v>0</v>
      </c>
      <c r="FR414">
        <f t="shared" si="228"/>
        <v>0</v>
      </c>
      <c r="FS414">
        <v>0</v>
      </c>
      <c r="FX414">
        <v>70</v>
      </c>
      <c r="FY414">
        <v>10</v>
      </c>
      <c r="GA414" t="s">
        <v>3</v>
      </c>
      <c r="GD414">
        <v>0</v>
      </c>
      <c r="GF414">
        <v>858864401</v>
      </c>
      <c r="GG414">
        <v>2</v>
      </c>
      <c r="GH414">
        <v>1</v>
      </c>
      <c r="GI414">
        <v>-2</v>
      </c>
      <c r="GJ414">
        <v>0</v>
      </c>
      <c r="GK414">
        <f>ROUND(R414*(R12)/100,2)</f>
        <v>0</v>
      </c>
      <c r="GL414">
        <f t="shared" si="229"/>
        <v>0</v>
      </c>
      <c r="GM414">
        <f t="shared" si="230"/>
        <v>5210.6099999999997</v>
      </c>
      <c r="GN414">
        <f t="shared" si="231"/>
        <v>0</v>
      </c>
      <c r="GO414">
        <f t="shared" si="232"/>
        <v>0</v>
      </c>
      <c r="GP414">
        <f t="shared" si="233"/>
        <v>5210.6099999999997</v>
      </c>
      <c r="GR414">
        <v>0</v>
      </c>
      <c r="GS414">
        <v>3</v>
      </c>
      <c r="GT414">
        <v>0</v>
      </c>
      <c r="GU414" t="s">
        <v>3</v>
      </c>
      <c r="GV414">
        <f t="shared" si="234"/>
        <v>0</v>
      </c>
      <c r="GW414">
        <v>1</v>
      </c>
      <c r="GX414">
        <f t="shared" si="235"/>
        <v>0</v>
      </c>
      <c r="HA414">
        <v>0</v>
      </c>
      <c r="HB414">
        <v>0</v>
      </c>
      <c r="HC414">
        <f t="shared" si="236"/>
        <v>0</v>
      </c>
      <c r="HE414" t="s">
        <v>3</v>
      </c>
      <c r="HF414" t="s">
        <v>3</v>
      </c>
      <c r="IK414">
        <v>0</v>
      </c>
    </row>
    <row r="415" spans="1:245" x14ac:dyDescent="0.2">
      <c r="A415">
        <v>17</v>
      </c>
      <c r="B415">
        <v>1</v>
      </c>
      <c r="C415">
        <f>ROW(SmtRes!A236)</f>
        <v>236</v>
      </c>
      <c r="D415">
        <f>ROW(EtalonRes!A210)</f>
        <v>210</v>
      </c>
      <c r="E415" t="s">
        <v>281</v>
      </c>
      <c r="F415" t="s">
        <v>128</v>
      </c>
      <c r="G415" t="s">
        <v>129</v>
      </c>
      <c r="H415" t="s">
        <v>35</v>
      </c>
      <c r="I415">
        <v>6.5</v>
      </c>
      <c r="J415">
        <v>0</v>
      </c>
      <c r="O415">
        <f t="shared" si="201"/>
        <v>23053.88</v>
      </c>
      <c r="P415">
        <f t="shared" si="202"/>
        <v>10587.59</v>
      </c>
      <c r="Q415">
        <f t="shared" si="203"/>
        <v>7243.93</v>
      </c>
      <c r="R415">
        <f t="shared" si="204"/>
        <v>4123.21</v>
      </c>
      <c r="S415">
        <f t="shared" si="205"/>
        <v>5222.3599999999997</v>
      </c>
      <c r="T415">
        <f t="shared" si="206"/>
        <v>0</v>
      </c>
      <c r="U415">
        <f t="shared" si="207"/>
        <v>24.245000000000001</v>
      </c>
      <c r="V415">
        <f t="shared" si="208"/>
        <v>0</v>
      </c>
      <c r="W415">
        <f t="shared" si="209"/>
        <v>0</v>
      </c>
      <c r="X415">
        <f t="shared" si="210"/>
        <v>3655.65</v>
      </c>
      <c r="Y415">
        <f t="shared" si="210"/>
        <v>522.24</v>
      </c>
      <c r="AA415">
        <v>38799519</v>
      </c>
      <c r="AB415">
        <f t="shared" si="211"/>
        <v>3546.75</v>
      </c>
      <c r="AC415">
        <f t="shared" si="212"/>
        <v>1628.86</v>
      </c>
      <c r="AD415">
        <f t="shared" si="213"/>
        <v>1114.45</v>
      </c>
      <c r="AE415">
        <f t="shared" si="214"/>
        <v>634.34</v>
      </c>
      <c r="AF415">
        <f t="shared" si="214"/>
        <v>803.44</v>
      </c>
      <c r="AG415">
        <f t="shared" si="215"/>
        <v>0</v>
      </c>
      <c r="AH415">
        <f t="shared" si="216"/>
        <v>3.73</v>
      </c>
      <c r="AI415">
        <f t="shared" si="216"/>
        <v>0</v>
      </c>
      <c r="AJ415">
        <f t="shared" si="217"/>
        <v>0</v>
      </c>
      <c r="AK415">
        <v>3546.75</v>
      </c>
      <c r="AL415">
        <v>1628.86</v>
      </c>
      <c r="AM415">
        <v>1114.45</v>
      </c>
      <c r="AN415">
        <v>634.34</v>
      </c>
      <c r="AO415">
        <v>803.44</v>
      </c>
      <c r="AP415">
        <v>0</v>
      </c>
      <c r="AQ415">
        <v>3.73</v>
      </c>
      <c r="AR415">
        <v>0</v>
      </c>
      <c r="AS415">
        <v>0</v>
      </c>
      <c r="AT415">
        <v>70</v>
      </c>
      <c r="AU415">
        <v>10</v>
      </c>
      <c r="AV415">
        <v>1</v>
      </c>
      <c r="AW415">
        <v>1</v>
      </c>
      <c r="AZ415">
        <v>1</v>
      </c>
      <c r="BA415">
        <v>1</v>
      </c>
      <c r="BB415">
        <v>1</v>
      </c>
      <c r="BC415">
        <v>1</v>
      </c>
      <c r="BD415" t="s">
        <v>3</v>
      </c>
      <c r="BE415" t="s">
        <v>3</v>
      </c>
      <c r="BF415" t="s">
        <v>3</v>
      </c>
      <c r="BG415" t="s">
        <v>3</v>
      </c>
      <c r="BH415">
        <v>0</v>
      </c>
      <c r="BI415">
        <v>4</v>
      </c>
      <c r="BJ415" t="s">
        <v>130</v>
      </c>
      <c r="BM415">
        <v>0</v>
      </c>
      <c r="BN415">
        <v>0</v>
      </c>
      <c r="BO415" t="s">
        <v>3</v>
      </c>
      <c r="BP415">
        <v>0</v>
      </c>
      <c r="BQ415">
        <v>1</v>
      </c>
      <c r="BR415">
        <v>0</v>
      </c>
      <c r="BS415">
        <v>1</v>
      </c>
      <c r="BT415">
        <v>1</v>
      </c>
      <c r="BU415">
        <v>1</v>
      </c>
      <c r="BV415">
        <v>1</v>
      </c>
      <c r="BW415">
        <v>1</v>
      </c>
      <c r="BX415">
        <v>1</v>
      </c>
      <c r="BY415" t="s">
        <v>3</v>
      </c>
      <c r="BZ415">
        <v>70</v>
      </c>
      <c r="CA415">
        <v>10</v>
      </c>
      <c r="CE415">
        <v>0</v>
      </c>
      <c r="CF415">
        <v>0</v>
      </c>
      <c r="CG415">
        <v>0</v>
      </c>
      <c r="CM415">
        <v>0</v>
      </c>
      <c r="CN415" t="s">
        <v>3</v>
      </c>
      <c r="CO415">
        <v>0</v>
      </c>
      <c r="CP415">
        <f t="shared" si="218"/>
        <v>23053.88</v>
      </c>
      <c r="CQ415">
        <f t="shared" si="219"/>
        <v>1628.86</v>
      </c>
      <c r="CR415">
        <f t="shared" si="220"/>
        <v>1114.45</v>
      </c>
      <c r="CS415">
        <f t="shared" si="221"/>
        <v>634.34</v>
      </c>
      <c r="CT415">
        <f t="shared" si="222"/>
        <v>803.44</v>
      </c>
      <c r="CU415">
        <f t="shared" si="223"/>
        <v>0</v>
      </c>
      <c r="CV415">
        <f t="shared" si="224"/>
        <v>3.73</v>
      </c>
      <c r="CW415">
        <f t="shared" si="225"/>
        <v>0</v>
      </c>
      <c r="CX415">
        <f t="shared" si="225"/>
        <v>0</v>
      </c>
      <c r="CY415">
        <f t="shared" si="226"/>
        <v>3655.6519999999996</v>
      </c>
      <c r="CZ415">
        <f t="shared" si="227"/>
        <v>522.23599999999999</v>
      </c>
      <c r="DC415" t="s">
        <v>3</v>
      </c>
      <c r="DD415" t="s">
        <v>3</v>
      </c>
      <c r="DE415" t="s">
        <v>3</v>
      </c>
      <c r="DF415" t="s">
        <v>3</v>
      </c>
      <c r="DG415" t="s">
        <v>3</v>
      </c>
      <c r="DH415" t="s">
        <v>3</v>
      </c>
      <c r="DI415" t="s">
        <v>3</v>
      </c>
      <c r="DJ415" t="s">
        <v>3</v>
      </c>
      <c r="DK415" t="s">
        <v>3</v>
      </c>
      <c r="DL415" t="s">
        <v>3</v>
      </c>
      <c r="DM415" t="s">
        <v>3</v>
      </c>
      <c r="DN415">
        <v>0</v>
      </c>
      <c r="DO415">
        <v>0</v>
      </c>
      <c r="DP415">
        <v>1</v>
      </c>
      <c r="DQ415">
        <v>1</v>
      </c>
      <c r="DU415">
        <v>1007</v>
      </c>
      <c r="DV415" t="s">
        <v>35</v>
      </c>
      <c r="DW415" t="s">
        <v>35</v>
      </c>
      <c r="DX415">
        <v>1</v>
      </c>
      <c r="EE415">
        <v>38447819</v>
      </c>
      <c r="EF415">
        <v>1</v>
      </c>
      <c r="EG415" t="s">
        <v>23</v>
      </c>
      <c r="EH415">
        <v>0</v>
      </c>
      <c r="EI415" t="s">
        <v>3</v>
      </c>
      <c r="EJ415">
        <v>4</v>
      </c>
      <c r="EK415">
        <v>0</v>
      </c>
      <c r="EL415" t="s">
        <v>24</v>
      </c>
      <c r="EM415" t="s">
        <v>25</v>
      </c>
      <c r="EO415" t="s">
        <v>3</v>
      </c>
      <c r="EQ415">
        <v>0</v>
      </c>
      <c r="ER415">
        <v>3546.75</v>
      </c>
      <c r="ES415">
        <v>1628.86</v>
      </c>
      <c r="ET415">
        <v>1114.45</v>
      </c>
      <c r="EU415">
        <v>634.34</v>
      </c>
      <c r="EV415">
        <v>803.44</v>
      </c>
      <c r="EW415">
        <v>3.73</v>
      </c>
      <c r="EX415">
        <v>0</v>
      </c>
      <c r="EY415">
        <v>0</v>
      </c>
      <c r="FQ415">
        <v>0</v>
      </c>
      <c r="FR415">
        <f t="shared" si="228"/>
        <v>0</v>
      </c>
      <c r="FS415">
        <v>0</v>
      </c>
      <c r="FX415">
        <v>70</v>
      </c>
      <c r="FY415">
        <v>10</v>
      </c>
      <c r="GA415" t="s">
        <v>3</v>
      </c>
      <c r="GD415">
        <v>0</v>
      </c>
      <c r="GF415">
        <v>-1126095436</v>
      </c>
      <c r="GG415">
        <v>2</v>
      </c>
      <c r="GH415">
        <v>1</v>
      </c>
      <c r="GI415">
        <v>-2</v>
      </c>
      <c r="GJ415">
        <v>0</v>
      </c>
      <c r="GK415">
        <f>ROUND(R415*(R12)/100,2)</f>
        <v>4453.07</v>
      </c>
      <c r="GL415">
        <f t="shared" si="229"/>
        <v>0</v>
      </c>
      <c r="GM415">
        <f t="shared" si="230"/>
        <v>31684.84</v>
      </c>
      <c r="GN415">
        <f t="shared" si="231"/>
        <v>0</v>
      </c>
      <c r="GO415">
        <f t="shared" si="232"/>
        <v>0</v>
      </c>
      <c r="GP415">
        <f t="shared" si="233"/>
        <v>31684.84</v>
      </c>
      <c r="GR415">
        <v>0</v>
      </c>
      <c r="GS415">
        <v>3</v>
      </c>
      <c r="GT415">
        <v>0</v>
      </c>
      <c r="GU415" t="s">
        <v>3</v>
      </c>
      <c r="GV415">
        <f t="shared" si="234"/>
        <v>0</v>
      </c>
      <c r="GW415">
        <v>1</v>
      </c>
      <c r="GX415">
        <f t="shared" si="235"/>
        <v>0</v>
      </c>
      <c r="HA415">
        <v>0</v>
      </c>
      <c r="HB415">
        <v>0</v>
      </c>
      <c r="HC415">
        <f t="shared" si="236"/>
        <v>0</v>
      </c>
      <c r="HE415" t="s">
        <v>3</v>
      </c>
      <c r="HF415" t="s">
        <v>3</v>
      </c>
      <c r="IK415">
        <v>0</v>
      </c>
    </row>
    <row r="416" spans="1:245" x14ac:dyDescent="0.2">
      <c r="A416">
        <v>17</v>
      </c>
      <c r="B416">
        <v>1</v>
      </c>
      <c r="C416">
        <f>ROW(SmtRes!A243)</f>
        <v>243</v>
      </c>
      <c r="D416">
        <f>ROW(EtalonRes!A217)</f>
        <v>217</v>
      </c>
      <c r="E416" t="s">
        <v>282</v>
      </c>
      <c r="F416" t="s">
        <v>132</v>
      </c>
      <c r="G416" t="s">
        <v>133</v>
      </c>
      <c r="H416" t="s">
        <v>19</v>
      </c>
      <c r="I416">
        <f>ROUND(43.35/100,9)</f>
        <v>0.4335</v>
      </c>
      <c r="J416">
        <v>0</v>
      </c>
      <c r="O416">
        <f t="shared" si="201"/>
        <v>9831.34</v>
      </c>
      <c r="P416">
        <f t="shared" si="202"/>
        <v>7547.69</v>
      </c>
      <c r="Q416">
        <f t="shared" si="203"/>
        <v>873.41</v>
      </c>
      <c r="R416">
        <f t="shared" si="204"/>
        <v>523.67999999999995</v>
      </c>
      <c r="S416">
        <f t="shared" si="205"/>
        <v>1410.24</v>
      </c>
      <c r="T416">
        <f t="shared" si="206"/>
        <v>0</v>
      </c>
      <c r="U416">
        <f t="shared" si="207"/>
        <v>7.1267400000000007</v>
      </c>
      <c r="V416">
        <f t="shared" si="208"/>
        <v>0</v>
      </c>
      <c r="W416">
        <f t="shared" si="209"/>
        <v>0</v>
      </c>
      <c r="X416">
        <f t="shared" si="210"/>
        <v>987.17</v>
      </c>
      <c r="Y416">
        <f t="shared" si="210"/>
        <v>141.02000000000001</v>
      </c>
      <c r="AA416">
        <v>38799519</v>
      </c>
      <c r="AB416">
        <f t="shared" si="211"/>
        <v>22678.99</v>
      </c>
      <c r="AC416">
        <f t="shared" si="212"/>
        <v>17411.05</v>
      </c>
      <c r="AD416">
        <f t="shared" si="213"/>
        <v>2014.79</v>
      </c>
      <c r="AE416">
        <f t="shared" si="214"/>
        <v>1208.03</v>
      </c>
      <c r="AF416">
        <f t="shared" si="214"/>
        <v>3253.15</v>
      </c>
      <c r="AG416">
        <f t="shared" si="215"/>
        <v>0</v>
      </c>
      <c r="AH416">
        <f t="shared" si="216"/>
        <v>16.440000000000001</v>
      </c>
      <c r="AI416">
        <f t="shared" si="216"/>
        <v>0</v>
      </c>
      <c r="AJ416">
        <f t="shared" si="217"/>
        <v>0</v>
      </c>
      <c r="AK416">
        <v>22678.99</v>
      </c>
      <c r="AL416">
        <v>17411.05</v>
      </c>
      <c r="AM416">
        <v>2014.79</v>
      </c>
      <c r="AN416">
        <v>1208.03</v>
      </c>
      <c r="AO416">
        <v>3253.15</v>
      </c>
      <c r="AP416">
        <v>0</v>
      </c>
      <c r="AQ416">
        <v>16.440000000000001</v>
      </c>
      <c r="AR416">
        <v>0</v>
      </c>
      <c r="AS416">
        <v>0</v>
      </c>
      <c r="AT416">
        <v>70</v>
      </c>
      <c r="AU416">
        <v>10</v>
      </c>
      <c r="AV416">
        <v>1</v>
      </c>
      <c r="AW416">
        <v>1</v>
      </c>
      <c r="AZ416">
        <v>1</v>
      </c>
      <c r="BA416">
        <v>1</v>
      </c>
      <c r="BB416">
        <v>1</v>
      </c>
      <c r="BC416">
        <v>1</v>
      </c>
      <c r="BD416" t="s">
        <v>3</v>
      </c>
      <c r="BE416" t="s">
        <v>3</v>
      </c>
      <c r="BF416" t="s">
        <v>3</v>
      </c>
      <c r="BG416" t="s">
        <v>3</v>
      </c>
      <c r="BH416">
        <v>0</v>
      </c>
      <c r="BI416">
        <v>4</v>
      </c>
      <c r="BJ416" t="s">
        <v>134</v>
      </c>
      <c r="BM416">
        <v>0</v>
      </c>
      <c r="BN416">
        <v>0</v>
      </c>
      <c r="BO416" t="s">
        <v>3</v>
      </c>
      <c r="BP416">
        <v>0</v>
      </c>
      <c r="BQ416">
        <v>1</v>
      </c>
      <c r="BR416">
        <v>0</v>
      </c>
      <c r="BS416">
        <v>1</v>
      </c>
      <c r="BT416">
        <v>1</v>
      </c>
      <c r="BU416">
        <v>1</v>
      </c>
      <c r="BV416">
        <v>1</v>
      </c>
      <c r="BW416">
        <v>1</v>
      </c>
      <c r="BX416">
        <v>1</v>
      </c>
      <c r="BY416" t="s">
        <v>3</v>
      </c>
      <c r="BZ416">
        <v>70</v>
      </c>
      <c r="CA416">
        <v>10</v>
      </c>
      <c r="CE416">
        <v>0</v>
      </c>
      <c r="CF416">
        <v>0</v>
      </c>
      <c r="CG416">
        <v>0</v>
      </c>
      <c r="CM416">
        <v>0</v>
      </c>
      <c r="CN416" t="s">
        <v>3</v>
      </c>
      <c r="CO416">
        <v>0</v>
      </c>
      <c r="CP416">
        <f t="shared" si="218"/>
        <v>9831.34</v>
      </c>
      <c r="CQ416">
        <f t="shared" si="219"/>
        <v>17411.05</v>
      </c>
      <c r="CR416">
        <f t="shared" si="220"/>
        <v>2014.79</v>
      </c>
      <c r="CS416">
        <f t="shared" si="221"/>
        <v>1208.03</v>
      </c>
      <c r="CT416">
        <f t="shared" si="222"/>
        <v>3253.15</v>
      </c>
      <c r="CU416">
        <f t="shared" si="223"/>
        <v>0</v>
      </c>
      <c r="CV416">
        <f t="shared" si="224"/>
        <v>16.440000000000001</v>
      </c>
      <c r="CW416">
        <f t="shared" si="225"/>
        <v>0</v>
      </c>
      <c r="CX416">
        <f t="shared" si="225"/>
        <v>0</v>
      </c>
      <c r="CY416">
        <f t="shared" si="226"/>
        <v>987.16800000000001</v>
      </c>
      <c r="CZ416">
        <f t="shared" si="227"/>
        <v>141.024</v>
      </c>
      <c r="DC416" t="s">
        <v>3</v>
      </c>
      <c r="DD416" t="s">
        <v>3</v>
      </c>
      <c r="DE416" t="s">
        <v>3</v>
      </c>
      <c r="DF416" t="s">
        <v>3</v>
      </c>
      <c r="DG416" t="s">
        <v>3</v>
      </c>
      <c r="DH416" t="s">
        <v>3</v>
      </c>
      <c r="DI416" t="s">
        <v>3</v>
      </c>
      <c r="DJ416" t="s">
        <v>3</v>
      </c>
      <c r="DK416" t="s">
        <v>3</v>
      </c>
      <c r="DL416" t="s">
        <v>3</v>
      </c>
      <c r="DM416" t="s">
        <v>3</v>
      </c>
      <c r="DN416">
        <v>0</v>
      </c>
      <c r="DO416">
        <v>0</v>
      </c>
      <c r="DP416">
        <v>1</v>
      </c>
      <c r="DQ416">
        <v>1</v>
      </c>
      <c r="DU416">
        <v>1005</v>
      </c>
      <c r="DV416" t="s">
        <v>19</v>
      </c>
      <c r="DW416" t="s">
        <v>19</v>
      </c>
      <c r="DX416">
        <v>100</v>
      </c>
      <c r="EE416">
        <v>38447819</v>
      </c>
      <c r="EF416">
        <v>1</v>
      </c>
      <c r="EG416" t="s">
        <v>23</v>
      </c>
      <c r="EH416">
        <v>0</v>
      </c>
      <c r="EI416" t="s">
        <v>3</v>
      </c>
      <c r="EJ416">
        <v>4</v>
      </c>
      <c r="EK416">
        <v>0</v>
      </c>
      <c r="EL416" t="s">
        <v>24</v>
      </c>
      <c r="EM416" t="s">
        <v>25</v>
      </c>
      <c r="EO416" t="s">
        <v>3</v>
      </c>
      <c r="EQ416">
        <v>0</v>
      </c>
      <c r="ER416">
        <v>22678.99</v>
      </c>
      <c r="ES416">
        <v>17411.05</v>
      </c>
      <c r="ET416">
        <v>2014.79</v>
      </c>
      <c r="EU416">
        <v>1208.03</v>
      </c>
      <c r="EV416">
        <v>3253.15</v>
      </c>
      <c r="EW416">
        <v>16.440000000000001</v>
      </c>
      <c r="EX416">
        <v>0</v>
      </c>
      <c r="EY416">
        <v>0</v>
      </c>
      <c r="FQ416">
        <v>0</v>
      </c>
      <c r="FR416">
        <f t="shared" si="228"/>
        <v>0</v>
      </c>
      <c r="FS416">
        <v>0</v>
      </c>
      <c r="FX416">
        <v>70</v>
      </c>
      <c r="FY416">
        <v>10</v>
      </c>
      <c r="GA416" t="s">
        <v>3</v>
      </c>
      <c r="GD416">
        <v>0</v>
      </c>
      <c r="GF416">
        <v>-820978144</v>
      </c>
      <c r="GG416">
        <v>2</v>
      </c>
      <c r="GH416">
        <v>1</v>
      </c>
      <c r="GI416">
        <v>-2</v>
      </c>
      <c r="GJ416">
        <v>0</v>
      </c>
      <c r="GK416">
        <f>ROUND(R416*(R12)/100,2)</f>
        <v>565.57000000000005</v>
      </c>
      <c r="GL416">
        <f t="shared" si="229"/>
        <v>0</v>
      </c>
      <c r="GM416">
        <f t="shared" si="230"/>
        <v>11525.1</v>
      </c>
      <c r="GN416">
        <f t="shared" si="231"/>
        <v>0</v>
      </c>
      <c r="GO416">
        <f t="shared" si="232"/>
        <v>0</v>
      </c>
      <c r="GP416">
        <f t="shared" si="233"/>
        <v>11525.1</v>
      </c>
      <c r="GR416">
        <v>0</v>
      </c>
      <c r="GS416">
        <v>3</v>
      </c>
      <c r="GT416">
        <v>0</v>
      </c>
      <c r="GU416" t="s">
        <v>3</v>
      </c>
      <c r="GV416">
        <f t="shared" si="234"/>
        <v>0</v>
      </c>
      <c r="GW416">
        <v>1</v>
      </c>
      <c r="GX416">
        <f t="shared" si="235"/>
        <v>0</v>
      </c>
      <c r="HA416">
        <v>0</v>
      </c>
      <c r="HB416">
        <v>0</v>
      </c>
      <c r="HC416">
        <f t="shared" si="236"/>
        <v>0</v>
      </c>
      <c r="HE416" t="s">
        <v>3</v>
      </c>
      <c r="HF416" t="s">
        <v>3</v>
      </c>
      <c r="IK416">
        <v>0</v>
      </c>
    </row>
    <row r="417" spans="1:245" x14ac:dyDescent="0.2">
      <c r="A417">
        <v>17</v>
      </c>
      <c r="B417">
        <v>1</v>
      </c>
      <c r="C417">
        <f>ROW(SmtRes!A247)</f>
        <v>247</v>
      </c>
      <c r="D417">
        <f>ROW(EtalonRes!A221)</f>
        <v>221</v>
      </c>
      <c r="E417" t="s">
        <v>283</v>
      </c>
      <c r="F417" t="s">
        <v>136</v>
      </c>
      <c r="G417" t="s">
        <v>137</v>
      </c>
      <c r="H417" t="s">
        <v>19</v>
      </c>
      <c r="I417">
        <f>ROUND(43.35/100,9)</f>
        <v>0.4335</v>
      </c>
      <c r="J417">
        <v>0</v>
      </c>
      <c r="O417">
        <f t="shared" si="201"/>
        <v>1521.78</v>
      </c>
      <c r="P417">
        <f t="shared" si="202"/>
        <v>1288.73</v>
      </c>
      <c r="Q417">
        <f t="shared" si="203"/>
        <v>45.62</v>
      </c>
      <c r="R417">
        <f t="shared" si="204"/>
        <v>25.99</v>
      </c>
      <c r="S417">
        <f t="shared" si="205"/>
        <v>187.43</v>
      </c>
      <c r="T417">
        <f t="shared" si="206"/>
        <v>0</v>
      </c>
      <c r="U417">
        <f t="shared" si="207"/>
        <v>1.001385</v>
      </c>
      <c r="V417">
        <f t="shared" si="208"/>
        <v>0</v>
      </c>
      <c r="W417">
        <f t="shared" si="209"/>
        <v>0</v>
      </c>
      <c r="X417">
        <f t="shared" si="210"/>
        <v>131.19999999999999</v>
      </c>
      <c r="Y417">
        <f t="shared" si="210"/>
        <v>18.739999999999998</v>
      </c>
      <c r="AA417">
        <v>38799519</v>
      </c>
      <c r="AB417">
        <f t="shared" si="211"/>
        <v>3510.44</v>
      </c>
      <c r="AC417">
        <f t="shared" si="212"/>
        <v>2972.84</v>
      </c>
      <c r="AD417">
        <f t="shared" si="213"/>
        <v>105.24</v>
      </c>
      <c r="AE417">
        <f t="shared" si="214"/>
        <v>59.96</v>
      </c>
      <c r="AF417">
        <f t="shared" si="214"/>
        <v>432.36</v>
      </c>
      <c r="AG417">
        <f t="shared" si="215"/>
        <v>0</v>
      </c>
      <c r="AH417">
        <f t="shared" si="216"/>
        <v>2.31</v>
      </c>
      <c r="AI417">
        <f t="shared" si="216"/>
        <v>0</v>
      </c>
      <c r="AJ417">
        <f t="shared" si="217"/>
        <v>0</v>
      </c>
      <c r="AK417">
        <v>3510.44</v>
      </c>
      <c r="AL417">
        <v>2972.84</v>
      </c>
      <c r="AM417">
        <v>105.24</v>
      </c>
      <c r="AN417">
        <v>59.96</v>
      </c>
      <c r="AO417">
        <v>432.36</v>
      </c>
      <c r="AP417">
        <v>0</v>
      </c>
      <c r="AQ417">
        <v>2.31</v>
      </c>
      <c r="AR417">
        <v>0</v>
      </c>
      <c r="AS417">
        <v>0</v>
      </c>
      <c r="AT417">
        <v>70</v>
      </c>
      <c r="AU417">
        <v>10</v>
      </c>
      <c r="AV417">
        <v>1</v>
      </c>
      <c r="AW417">
        <v>1</v>
      </c>
      <c r="AZ417">
        <v>1</v>
      </c>
      <c r="BA417">
        <v>1</v>
      </c>
      <c r="BB417">
        <v>1</v>
      </c>
      <c r="BC417">
        <v>1</v>
      </c>
      <c r="BD417" t="s">
        <v>3</v>
      </c>
      <c r="BE417" t="s">
        <v>3</v>
      </c>
      <c r="BF417" t="s">
        <v>3</v>
      </c>
      <c r="BG417" t="s">
        <v>3</v>
      </c>
      <c r="BH417">
        <v>0</v>
      </c>
      <c r="BI417">
        <v>4</v>
      </c>
      <c r="BJ417" t="s">
        <v>138</v>
      </c>
      <c r="BM417">
        <v>0</v>
      </c>
      <c r="BN417">
        <v>0</v>
      </c>
      <c r="BO417" t="s">
        <v>3</v>
      </c>
      <c r="BP417">
        <v>0</v>
      </c>
      <c r="BQ417">
        <v>1</v>
      </c>
      <c r="BR417">
        <v>0</v>
      </c>
      <c r="BS417">
        <v>1</v>
      </c>
      <c r="BT417">
        <v>1</v>
      </c>
      <c r="BU417">
        <v>1</v>
      </c>
      <c r="BV417">
        <v>1</v>
      </c>
      <c r="BW417">
        <v>1</v>
      </c>
      <c r="BX417">
        <v>1</v>
      </c>
      <c r="BY417" t="s">
        <v>3</v>
      </c>
      <c r="BZ417">
        <v>70</v>
      </c>
      <c r="CA417">
        <v>10</v>
      </c>
      <c r="CE417">
        <v>0</v>
      </c>
      <c r="CF417">
        <v>0</v>
      </c>
      <c r="CG417">
        <v>0</v>
      </c>
      <c r="CM417">
        <v>0</v>
      </c>
      <c r="CN417" t="s">
        <v>3</v>
      </c>
      <c r="CO417">
        <v>0</v>
      </c>
      <c r="CP417">
        <f t="shared" si="218"/>
        <v>1521.78</v>
      </c>
      <c r="CQ417">
        <f t="shared" si="219"/>
        <v>2972.84</v>
      </c>
      <c r="CR417">
        <f t="shared" si="220"/>
        <v>105.24</v>
      </c>
      <c r="CS417">
        <f t="shared" si="221"/>
        <v>59.96</v>
      </c>
      <c r="CT417">
        <f t="shared" si="222"/>
        <v>432.36</v>
      </c>
      <c r="CU417">
        <f t="shared" si="223"/>
        <v>0</v>
      </c>
      <c r="CV417">
        <f t="shared" si="224"/>
        <v>2.31</v>
      </c>
      <c r="CW417">
        <f t="shared" si="225"/>
        <v>0</v>
      </c>
      <c r="CX417">
        <f t="shared" si="225"/>
        <v>0</v>
      </c>
      <c r="CY417">
        <f t="shared" si="226"/>
        <v>131.20099999999999</v>
      </c>
      <c r="CZ417">
        <f t="shared" si="227"/>
        <v>18.743000000000002</v>
      </c>
      <c r="DC417" t="s">
        <v>3</v>
      </c>
      <c r="DD417" t="s">
        <v>3</v>
      </c>
      <c r="DE417" t="s">
        <v>3</v>
      </c>
      <c r="DF417" t="s">
        <v>3</v>
      </c>
      <c r="DG417" t="s">
        <v>3</v>
      </c>
      <c r="DH417" t="s">
        <v>3</v>
      </c>
      <c r="DI417" t="s">
        <v>3</v>
      </c>
      <c r="DJ417" t="s">
        <v>3</v>
      </c>
      <c r="DK417" t="s">
        <v>3</v>
      </c>
      <c r="DL417" t="s">
        <v>3</v>
      </c>
      <c r="DM417" t="s">
        <v>3</v>
      </c>
      <c r="DN417">
        <v>0</v>
      </c>
      <c r="DO417">
        <v>0</v>
      </c>
      <c r="DP417">
        <v>1</v>
      </c>
      <c r="DQ417">
        <v>1</v>
      </c>
      <c r="DU417">
        <v>1005</v>
      </c>
      <c r="DV417" t="s">
        <v>19</v>
      </c>
      <c r="DW417" t="s">
        <v>19</v>
      </c>
      <c r="DX417">
        <v>100</v>
      </c>
      <c r="EE417">
        <v>38447819</v>
      </c>
      <c r="EF417">
        <v>1</v>
      </c>
      <c r="EG417" t="s">
        <v>23</v>
      </c>
      <c r="EH417">
        <v>0</v>
      </c>
      <c r="EI417" t="s">
        <v>3</v>
      </c>
      <c r="EJ417">
        <v>4</v>
      </c>
      <c r="EK417">
        <v>0</v>
      </c>
      <c r="EL417" t="s">
        <v>24</v>
      </c>
      <c r="EM417" t="s">
        <v>25</v>
      </c>
      <c r="EO417" t="s">
        <v>3</v>
      </c>
      <c r="EQ417">
        <v>0</v>
      </c>
      <c r="ER417">
        <v>3510.44</v>
      </c>
      <c r="ES417">
        <v>2972.84</v>
      </c>
      <c r="ET417">
        <v>105.24</v>
      </c>
      <c r="EU417">
        <v>59.96</v>
      </c>
      <c r="EV417">
        <v>432.36</v>
      </c>
      <c r="EW417">
        <v>2.31</v>
      </c>
      <c r="EX417">
        <v>0</v>
      </c>
      <c r="EY417">
        <v>0</v>
      </c>
      <c r="FQ417">
        <v>0</v>
      </c>
      <c r="FR417">
        <f t="shared" si="228"/>
        <v>0</v>
      </c>
      <c r="FS417">
        <v>0</v>
      </c>
      <c r="FX417">
        <v>70</v>
      </c>
      <c r="FY417">
        <v>10</v>
      </c>
      <c r="GA417" t="s">
        <v>3</v>
      </c>
      <c r="GD417">
        <v>0</v>
      </c>
      <c r="GF417">
        <v>-1891653427</v>
      </c>
      <c r="GG417">
        <v>2</v>
      </c>
      <c r="GH417">
        <v>1</v>
      </c>
      <c r="GI417">
        <v>-2</v>
      </c>
      <c r="GJ417">
        <v>0</v>
      </c>
      <c r="GK417">
        <f>ROUND(R417*(R12)/100,2)</f>
        <v>28.07</v>
      </c>
      <c r="GL417">
        <f t="shared" si="229"/>
        <v>0</v>
      </c>
      <c r="GM417">
        <f t="shared" si="230"/>
        <v>1699.79</v>
      </c>
      <c r="GN417">
        <f t="shared" si="231"/>
        <v>0</v>
      </c>
      <c r="GO417">
        <f t="shared" si="232"/>
        <v>0</v>
      </c>
      <c r="GP417">
        <f t="shared" si="233"/>
        <v>1699.79</v>
      </c>
      <c r="GR417">
        <v>0</v>
      </c>
      <c r="GS417">
        <v>3</v>
      </c>
      <c r="GT417">
        <v>0</v>
      </c>
      <c r="GU417" t="s">
        <v>3</v>
      </c>
      <c r="GV417">
        <f t="shared" si="234"/>
        <v>0</v>
      </c>
      <c r="GW417">
        <v>1</v>
      </c>
      <c r="GX417">
        <f t="shared" si="235"/>
        <v>0</v>
      </c>
      <c r="HA417">
        <v>0</v>
      </c>
      <c r="HB417">
        <v>0</v>
      </c>
      <c r="HC417">
        <f t="shared" si="236"/>
        <v>0</v>
      </c>
      <c r="HE417" t="s">
        <v>3</v>
      </c>
      <c r="HF417" t="s">
        <v>3</v>
      </c>
      <c r="IK417">
        <v>0</v>
      </c>
    </row>
    <row r="419" spans="1:245" x14ac:dyDescent="0.2">
      <c r="A419" s="2">
        <v>51</v>
      </c>
      <c r="B419" s="2">
        <f>B406</f>
        <v>1</v>
      </c>
      <c r="C419" s="2">
        <f>A406</f>
        <v>5</v>
      </c>
      <c r="D419" s="2">
        <f>ROW(A406)</f>
        <v>406</v>
      </c>
      <c r="E419" s="2"/>
      <c r="F419" s="2" t="str">
        <f>IF(F406&lt;&gt;"",F406,"")</f>
        <v>Новый подраздел</v>
      </c>
      <c r="G419" s="2" t="str">
        <f>IF(G406&lt;&gt;"",G406,"")</f>
        <v>Строительные работы</v>
      </c>
      <c r="H419" s="2">
        <v>0</v>
      </c>
      <c r="I419" s="2"/>
      <c r="J419" s="2"/>
      <c r="K419" s="2"/>
      <c r="L419" s="2"/>
      <c r="M419" s="2"/>
      <c r="N419" s="2"/>
      <c r="O419" s="2">
        <f t="shared" ref="O419:T419" si="237">ROUND(AB419,2)</f>
        <v>93861.67</v>
      </c>
      <c r="P419" s="2">
        <f t="shared" si="237"/>
        <v>47759.27</v>
      </c>
      <c r="Q419" s="2">
        <f t="shared" si="237"/>
        <v>11689.91</v>
      </c>
      <c r="R419" s="2">
        <f t="shared" si="237"/>
        <v>6680.43</v>
      </c>
      <c r="S419" s="2">
        <f t="shared" si="237"/>
        <v>34412.49</v>
      </c>
      <c r="T419" s="2">
        <f t="shared" si="237"/>
        <v>0</v>
      </c>
      <c r="U419" s="2">
        <f>AH419</f>
        <v>154.012291</v>
      </c>
      <c r="V419" s="2">
        <f>AI419</f>
        <v>0</v>
      </c>
      <c r="W419" s="2">
        <f>ROUND(AJ419,2)</f>
        <v>0</v>
      </c>
      <c r="X419" s="2">
        <f>ROUND(AK419,2)</f>
        <v>24088.74</v>
      </c>
      <c r="Y419" s="2">
        <f>ROUND(AL419,2)</f>
        <v>3441.24</v>
      </c>
      <c r="Z419" s="2"/>
      <c r="AA419" s="2"/>
      <c r="AB419" s="2">
        <f>ROUND(SUMIF(AA410:AA417,"=38799519",O410:O417),2)</f>
        <v>93861.67</v>
      </c>
      <c r="AC419" s="2">
        <f>ROUND(SUMIF(AA410:AA417,"=38799519",P410:P417),2)</f>
        <v>47759.27</v>
      </c>
      <c r="AD419" s="2">
        <f>ROUND(SUMIF(AA410:AA417,"=38799519",Q410:Q417),2)</f>
        <v>11689.91</v>
      </c>
      <c r="AE419" s="2">
        <f>ROUND(SUMIF(AA410:AA417,"=38799519",R410:R417),2)</f>
        <v>6680.43</v>
      </c>
      <c r="AF419" s="2">
        <f>ROUND(SUMIF(AA410:AA417,"=38799519",S410:S417),2)</f>
        <v>34412.49</v>
      </c>
      <c r="AG419" s="2">
        <f>ROUND(SUMIF(AA410:AA417,"=38799519",T410:T417),2)</f>
        <v>0</v>
      </c>
      <c r="AH419" s="2">
        <f>SUMIF(AA410:AA417,"=38799519",U410:U417)</f>
        <v>154.012291</v>
      </c>
      <c r="AI419" s="2">
        <f>SUMIF(AA410:AA417,"=38799519",V410:V417)</f>
        <v>0</v>
      </c>
      <c r="AJ419" s="2">
        <f>ROUND(SUMIF(AA410:AA417,"=38799519",W410:W417),2)</f>
        <v>0</v>
      </c>
      <c r="AK419" s="2">
        <f>ROUND(SUMIF(AA410:AA417,"=38799519",X410:X417),2)</f>
        <v>24088.74</v>
      </c>
      <c r="AL419" s="2">
        <f>ROUND(SUMIF(AA410:AA417,"=38799519",Y410:Y417),2)</f>
        <v>3441.24</v>
      </c>
      <c r="AM419" s="2"/>
      <c r="AN419" s="2"/>
      <c r="AO419" s="2">
        <f t="shared" ref="AO419:BD419" si="238">ROUND(BX419,2)</f>
        <v>0</v>
      </c>
      <c r="AP419" s="2">
        <f t="shared" si="238"/>
        <v>0</v>
      </c>
      <c r="AQ419" s="2">
        <f t="shared" si="238"/>
        <v>0</v>
      </c>
      <c r="AR419" s="2">
        <f t="shared" si="238"/>
        <v>128606.51</v>
      </c>
      <c r="AS419" s="2">
        <f t="shared" si="238"/>
        <v>0</v>
      </c>
      <c r="AT419" s="2">
        <f t="shared" si="238"/>
        <v>0</v>
      </c>
      <c r="AU419" s="2">
        <f t="shared" si="238"/>
        <v>128606.51</v>
      </c>
      <c r="AV419" s="2">
        <f t="shared" si="238"/>
        <v>47759.27</v>
      </c>
      <c r="AW419" s="2">
        <f t="shared" si="238"/>
        <v>47759.27</v>
      </c>
      <c r="AX419" s="2">
        <f t="shared" si="238"/>
        <v>0</v>
      </c>
      <c r="AY419" s="2">
        <f t="shared" si="238"/>
        <v>47759.27</v>
      </c>
      <c r="AZ419" s="2">
        <f t="shared" si="238"/>
        <v>0</v>
      </c>
      <c r="BA419" s="2">
        <f t="shared" si="238"/>
        <v>0</v>
      </c>
      <c r="BB419" s="2">
        <f t="shared" si="238"/>
        <v>0</v>
      </c>
      <c r="BC419" s="2">
        <f t="shared" si="238"/>
        <v>0</v>
      </c>
      <c r="BD419" s="2">
        <f t="shared" si="238"/>
        <v>0</v>
      </c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>
        <f>ROUND(SUMIF(AA410:AA417,"=38799519",FQ410:FQ417),2)</f>
        <v>0</v>
      </c>
      <c r="BY419" s="2">
        <f>ROUND(SUMIF(AA410:AA417,"=38799519",FR410:FR417),2)</f>
        <v>0</v>
      </c>
      <c r="BZ419" s="2">
        <f>ROUND(SUMIF(AA410:AA417,"=38799519",GL410:GL417),2)</f>
        <v>0</v>
      </c>
      <c r="CA419" s="2">
        <f>ROUND(SUMIF(AA410:AA417,"=38799519",GM410:GM417),2)</f>
        <v>128606.51</v>
      </c>
      <c r="CB419" s="2">
        <f>ROUND(SUMIF(AA410:AA417,"=38799519",GN410:GN417),2)</f>
        <v>0</v>
      </c>
      <c r="CC419" s="2">
        <f>ROUND(SUMIF(AA410:AA417,"=38799519",GO410:GO417),2)</f>
        <v>0</v>
      </c>
      <c r="CD419" s="2">
        <f>ROUND(SUMIF(AA410:AA417,"=38799519",GP410:GP417),2)</f>
        <v>128606.51</v>
      </c>
      <c r="CE419" s="2">
        <f>AC419-BX419</f>
        <v>47759.27</v>
      </c>
      <c r="CF419" s="2">
        <f>AC419-BY419</f>
        <v>47759.27</v>
      </c>
      <c r="CG419" s="2">
        <f>BX419-BZ419</f>
        <v>0</v>
      </c>
      <c r="CH419" s="2">
        <f>AC419-BX419-BY419+BZ419</f>
        <v>47759.27</v>
      </c>
      <c r="CI419" s="2">
        <f>BY419-BZ419</f>
        <v>0</v>
      </c>
      <c r="CJ419" s="2">
        <f>ROUND(SUMIF(AA410:AA417,"=38799519",GX410:GX417),2)</f>
        <v>0</v>
      </c>
      <c r="CK419" s="2">
        <f>ROUND(SUMIF(AA410:AA417,"=38799519",GY410:GY417),2)</f>
        <v>0</v>
      </c>
      <c r="CL419" s="2">
        <f>ROUND(SUMIF(AA410:AA417,"=38799519",GZ410:GZ417),2)</f>
        <v>0</v>
      </c>
      <c r="CM419" s="2">
        <f>ROUND(SUMIF(AA410:AA417,"=38799519",HD410:HD417),2)</f>
        <v>0</v>
      </c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  <c r="FJ419" s="3"/>
      <c r="FK419" s="3"/>
      <c r="FL419" s="3"/>
      <c r="FM419" s="3"/>
      <c r="FN419" s="3"/>
      <c r="FO419" s="3"/>
      <c r="FP419" s="3"/>
      <c r="FQ419" s="3"/>
      <c r="FR419" s="3"/>
      <c r="FS419" s="3"/>
      <c r="FT419" s="3"/>
      <c r="FU419" s="3"/>
      <c r="FV419" s="3"/>
      <c r="FW419" s="3"/>
      <c r="FX419" s="3"/>
      <c r="FY419" s="3"/>
      <c r="FZ419" s="3"/>
      <c r="GA419" s="3"/>
      <c r="GB419" s="3"/>
      <c r="GC419" s="3"/>
      <c r="GD419" s="3"/>
      <c r="GE419" s="3"/>
      <c r="GF419" s="3"/>
      <c r="GG419" s="3"/>
      <c r="GH419" s="3"/>
      <c r="GI419" s="3"/>
      <c r="GJ419" s="3"/>
      <c r="GK419" s="3"/>
      <c r="GL419" s="3"/>
      <c r="GM419" s="3"/>
      <c r="GN419" s="3"/>
      <c r="GO419" s="3"/>
      <c r="GP419" s="3"/>
      <c r="GQ419" s="3"/>
      <c r="GR419" s="3"/>
      <c r="GS419" s="3"/>
      <c r="GT419" s="3"/>
      <c r="GU419" s="3"/>
      <c r="GV419" s="3"/>
      <c r="GW419" s="3"/>
      <c r="GX419" s="3">
        <v>0</v>
      </c>
    </row>
    <row r="421" spans="1:245" x14ac:dyDescent="0.2">
      <c r="A421" s="4">
        <v>50</v>
      </c>
      <c r="B421" s="4">
        <v>0</v>
      </c>
      <c r="C421" s="4">
        <v>0</v>
      </c>
      <c r="D421" s="4">
        <v>1</v>
      </c>
      <c r="E421" s="4">
        <v>201</v>
      </c>
      <c r="F421" s="4">
        <f>ROUND(Source!O419,O421)</f>
        <v>93861.67</v>
      </c>
      <c r="G421" s="4" t="s">
        <v>50</v>
      </c>
      <c r="H421" s="4" t="s">
        <v>51</v>
      </c>
      <c r="I421" s="4"/>
      <c r="J421" s="4"/>
      <c r="K421" s="4">
        <v>201</v>
      </c>
      <c r="L421" s="4">
        <v>1</v>
      </c>
      <c r="M421" s="4">
        <v>3</v>
      </c>
      <c r="N421" s="4" t="s">
        <v>3</v>
      </c>
      <c r="O421" s="4">
        <v>2</v>
      </c>
      <c r="P421" s="4"/>
      <c r="Q421" s="4"/>
      <c r="R421" s="4"/>
      <c r="S421" s="4"/>
      <c r="T421" s="4"/>
      <c r="U421" s="4"/>
      <c r="V421" s="4"/>
      <c r="W421" s="4"/>
    </row>
    <row r="422" spans="1:245" x14ac:dyDescent="0.2">
      <c r="A422" s="4">
        <v>50</v>
      </c>
      <c r="B422" s="4">
        <v>0</v>
      </c>
      <c r="C422" s="4">
        <v>0</v>
      </c>
      <c r="D422" s="4">
        <v>1</v>
      </c>
      <c r="E422" s="4">
        <v>202</v>
      </c>
      <c r="F422" s="4">
        <f>ROUND(Source!P419,O422)</f>
        <v>47759.27</v>
      </c>
      <c r="G422" s="4" t="s">
        <v>52</v>
      </c>
      <c r="H422" s="4" t="s">
        <v>53</v>
      </c>
      <c r="I422" s="4"/>
      <c r="J422" s="4"/>
      <c r="K422" s="4">
        <v>202</v>
      </c>
      <c r="L422" s="4">
        <v>2</v>
      </c>
      <c r="M422" s="4">
        <v>3</v>
      </c>
      <c r="N422" s="4" t="s">
        <v>3</v>
      </c>
      <c r="O422" s="4">
        <v>2</v>
      </c>
      <c r="P422" s="4"/>
      <c r="Q422" s="4"/>
      <c r="R422" s="4"/>
      <c r="S422" s="4"/>
      <c r="T422" s="4"/>
      <c r="U422" s="4"/>
      <c r="V422" s="4"/>
      <c r="W422" s="4"/>
    </row>
    <row r="423" spans="1:245" x14ac:dyDescent="0.2">
      <c r="A423" s="4">
        <v>50</v>
      </c>
      <c r="B423" s="4">
        <v>0</v>
      </c>
      <c r="C423" s="4">
        <v>0</v>
      </c>
      <c r="D423" s="4">
        <v>1</v>
      </c>
      <c r="E423" s="4">
        <v>222</v>
      </c>
      <c r="F423" s="4">
        <f>ROUND(Source!AO419,O423)</f>
        <v>0</v>
      </c>
      <c r="G423" s="4" t="s">
        <v>54</v>
      </c>
      <c r="H423" s="4" t="s">
        <v>55</v>
      </c>
      <c r="I423" s="4"/>
      <c r="J423" s="4"/>
      <c r="K423" s="4">
        <v>222</v>
      </c>
      <c r="L423" s="4">
        <v>3</v>
      </c>
      <c r="M423" s="4">
        <v>3</v>
      </c>
      <c r="N423" s="4" t="s">
        <v>3</v>
      </c>
      <c r="O423" s="4">
        <v>2</v>
      </c>
      <c r="P423" s="4"/>
      <c r="Q423" s="4"/>
      <c r="R423" s="4"/>
      <c r="S423" s="4"/>
      <c r="T423" s="4"/>
      <c r="U423" s="4"/>
      <c r="V423" s="4"/>
      <c r="W423" s="4"/>
    </row>
    <row r="424" spans="1:245" x14ac:dyDescent="0.2">
      <c r="A424" s="4">
        <v>50</v>
      </c>
      <c r="B424" s="4">
        <v>0</v>
      </c>
      <c r="C424" s="4">
        <v>0</v>
      </c>
      <c r="D424" s="4">
        <v>1</v>
      </c>
      <c r="E424" s="4">
        <v>225</v>
      </c>
      <c r="F424" s="4">
        <f>ROUND(Source!AV419,O424)</f>
        <v>47759.27</v>
      </c>
      <c r="G424" s="4" t="s">
        <v>56</v>
      </c>
      <c r="H424" s="4" t="s">
        <v>57</v>
      </c>
      <c r="I424" s="4"/>
      <c r="J424" s="4"/>
      <c r="K424" s="4">
        <v>225</v>
      </c>
      <c r="L424" s="4">
        <v>4</v>
      </c>
      <c r="M424" s="4">
        <v>3</v>
      </c>
      <c r="N424" s="4" t="s">
        <v>3</v>
      </c>
      <c r="O424" s="4">
        <v>2</v>
      </c>
      <c r="P424" s="4"/>
      <c r="Q424" s="4"/>
      <c r="R424" s="4"/>
      <c r="S424" s="4"/>
      <c r="T424" s="4"/>
      <c r="U424" s="4"/>
      <c r="V424" s="4"/>
      <c r="W424" s="4"/>
    </row>
    <row r="425" spans="1:245" x14ac:dyDescent="0.2">
      <c r="A425" s="4">
        <v>50</v>
      </c>
      <c r="B425" s="4">
        <v>0</v>
      </c>
      <c r="C425" s="4">
        <v>0</v>
      </c>
      <c r="D425" s="4">
        <v>1</v>
      </c>
      <c r="E425" s="4">
        <v>226</v>
      </c>
      <c r="F425" s="4">
        <f>ROUND(Source!AW419,O425)</f>
        <v>47759.27</v>
      </c>
      <c r="G425" s="4" t="s">
        <v>58</v>
      </c>
      <c r="H425" s="4" t="s">
        <v>59</v>
      </c>
      <c r="I425" s="4"/>
      <c r="J425" s="4"/>
      <c r="K425" s="4">
        <v>226</v>
      </c>
      <c r="L425" s="4">
        <v>5</v>
      </c>
      <c r="M425" s="4">
        <v>3</v>
      </c>
      <c r="N425" s="4" t="s">
        <v>3</v>
      </c>
      <c r="O425" s="4">
        <v>2</v>
      </c>
      <c r="P425" s="4"/>
      <c r="Q425" s="4"/>
      <c r="R425" s="4"/>
      <c r="S425" s="4"/>
      <c r="T425" s="4"/>
      <c r="U425" s="4"/>
      <c r="V425" s="4"/>
      <c r="W425" s="4"/>
    </row>
    <row r="426" spans="1:245" x14ac:dyDescent="0.2">
      <c r="A426" s="4">
        <v>50</v>
      </c>
      <c r="B426" s="4">
        <v>0</v>
      </c>
      <c r="C426" s="4">
        <v>0</v>
      </c>
      <c r="D426" s="4">
        <v>1</v>
      </c>
      <c r="E426" s="4">
        <v>227</v>
      </c>
      <c r="F426" s="4">
        <f>ROUND(Source!AX419,O426)</f>
        <v>0</v>
      </c>
      <c r="G426" s="4" t="s">
        <v>60</v>
      </c>
      <c r="H426" s="4" t="s">
        <v>61</v>
      </c>
      <c r="I426" s="4"/>
      <c r="J426" s="4"/>
      <c r="K426" s="4">
        <v>227</v>
      </c>
      <c r="L426" s="4">
        <v>6</v>
      </c>
      <c r="M426" s="4">
        <v>3</v>
      </c>
      <c r="N426" s="4" t="s">
        <v>3</v>
      </c>
      <c r="O426" s="4">
        <v>2</v>
      </c>
      <c r="P426" s="4"/>
      <c r="Q426" s="4"/>
      <c r="R426" s="4"/>
      <c r="S426" s="4"/>
      <c r="T426" s="4"/>
      <c r="U426" s="4"/>
      <c r="V426" s="4"/>
      <c r="W426" s="4"/>
    </row>
    <row r="427" spans="1:245" x14ac:dyDescent="0.2">
      <c r="A427" s="4">
        <v>50</v>
      </c>
      <c r="B427" s="4">
        <v>0</v>
      </c>
      <c r="C427" s="4">
        <v>0</v>
      </c>
      <c r="D427" s="4">
        <v>1</v>
      </c>
      <c r="E427" s="4">
        <v>228</v>
      </c>
      <c r="F427" s="4">
        <f>ROUND(Source!AY419,O427)</f>
        <v>47759.27</v>
      </c>
      <c r="G427" s="4" t="s">
        <v>62</v>
      </c>
      <c r="H427" s="4" t="s">
        <v>63</v>
      </c>
      <c r="I427" s="4"/>
      <c r="J427" s="4"/>
      <c r="K427" s="4">
        <v>228</v>
      </c>
      <c r="L427" s="4">
        <v>7</v>
      </c>
      <c r="M427" s="4">
        <v>3</v>
      </c>
      <c r="N427" s="4" t="s">
        <v>3</v>
      </c>
      <c r="O427" s="4">
        <v>2</v>
      </c>
      <c r="P427" s="4"/>
      <c r="Q427" s="4"/>
      <c r="R427" s="4"/>
      <c r="S427" s="4"/>
      <c r="T427" s="4"/>
      <c r="U427" s="4"/>
      <c r="V427" s="4"/>
      <c r="W427" s="4"/>
    </row>
    <row r="428" spans="1:245" x14ac:dyDescent="0.2">
      <c r="A428" s="4">
        <v>50</v>
      </c>
      <c r="B428" s="4">
        <v>0</v>
      </c>
      <c r="C428" s="4">
        <v>0</v>
      </c>
      <c r="D428" s="4">
        <v>1</v>
      </c>
      <c r="E428" s="4">
        <v>216</v>
      </c>
      <c r="F428" s="4">
        <f>ROUND(Source!AP419,O428)</f>
        <v>0</v>
      </c>
      <c r="G428" s="4" t="s">
        <v>64</v>
      </c>
      <c r="H428" s="4" t="s">
        <v>65</v>
      </c>
      <c r="I428" s="4"/>
      <c r="J428" s="4"/>
      <c r="K428" s="4">
        <v>216</v>
      </c>
      <c r="L428" s="4">
        <v>8</v>
      </c>
      <c r="M428" s="4">
        <v>3</v>
      </c>
      <c r="N428" s="4" t="s">
        <v>3</v>
      </c>
      <c r="O428" s="4">
        <v>2</v>
      </c>
      <c r="P428" s="4"/>
      <c r="Q428" s="4"/>
      <c r="R428" s="4"/>
      <c r="S428" s="4"/>
      <c r="T428" s="4"/>
      <c r="U428" s="4"/>
      <c r="V428" s="4"/>
      <c r="W428" s="4"/>
    </row>
    <row r="429" spans="1:245" x14ac:dyDescent="0.2">
      <c r="A429" s="4">
        <v>50</v>
      </c>
      <c r="B429" s="4">
        <v>0</v>
      </c>
      <c r="C429" s="4">
        <v>0</v>
      </c>
      <c r="D429" s="4">
        <v>1</v>
      </c>
      <c r="E429" s="4">
        <v>223</v>
      </c>
      <c r="F429" s="4">
        <f>ROUND(Source!AQ419,O429)</f>
        <v>0</v>
      </c>
      <c r="G429" s="4" t="s">
        <v>66</v>
      </c>
      <c r="H429" s="4" t="s">
        <v>67</v>
      </c>
      <c r="I429" s="4"/>
      <c r="J429" s="4"/>
      <c r="K429" s="4">
        <v>223</v>
      </c>
      <c r="L429" s="4">
        <v>9</v>
      </c>
      <c r="M429" s="4">
        <v>3</v>
      </c>
      <c r="N429" s="4" t="s">
        <v>3</v>
      </c>
      <c r="O429" s="4">
        <v>2</v>
      </c>
      <c r="P429" s="4"/>
      <c r="Q429" s="4"/>
      <c r="R429" s="4"/>
      <c r="S429" s="4"/>
      <c r="T429" s="4"/>
      <c r="U429" s="4"/>
      <c r="V429" s="4"/>
      <c r="W429" s="4"/>
    </row>
    <row r="430" spans="1:245" x14ac:dyDescent="0.2">
      <c r="A430" s="4">
        <v>50</v>
      </c>
      <c r="B430" s="4">
        <v>0</v>
      </c>
      <c r="C430" s="4">
        <v>0</v>
      </c>
      <c r="D430" s="4">
        <v>1</v>
      </c>
      <c r="E430" s="4">
        <v>229</v>
      </c>
      <c r="F430" s="4">
        <f>ROUND(Source!AZ419,O430)</f>
        <v>0</v>
      </c>
      <c r="G430" s="4" t="s">
        <v>68</v>
      </c>
      <c r="H430" s="4" t="s">
        <v>69</v>
      </c>
      <c r="I430" s="4"/>
      <c r="J430" s="4"/>
      <c r="K430" s="4">
        <v>229</v>
      </c>
      <c r="L430" s="4">
        <v>10</v>
      </c>
      <c r="M430" s="4">
        <v>3</v>
      </c>
      <c r="N430" s="4" t="s">
        <v>3</v>
      </c>
      <c r="O430" s="4">
        <v>2</v>
      </c>
      <c r="P430" s="4"/>
      <c r="Q430" s="4"/>
      <c r="R430" s="4"/>
      <c r="S430" s="4"/>
      <c r="T430" s="4"/>
      <c r="U430" s="4"/>
      <c r="V430" s="4"/>
      <c r="W430" s="4"/>
    </row>
    <row r="431" spans="1:245" x14ac:dyDescent="0.2">
      <c r="A431" s="4">
        <v>50</v>
      </c>
      <c r="B431" s="4">
        <v>0</v>
      </c>
      <c r="C431" s="4">
        <v>0</v>
      </c>
      <c r="D431" s="4">
        <v>1</v>
      </c>
      <c r="E431" s="4">
        <v>203</v>
      </c>
      <c r="F431" s="4">
        <f>ROUND(Source!Q419,O431)</f>
        <v>11689.91</v>
      </c>
      <c r="G431" s="4" t="s">
        <v>70</v>
      </c>
      <c r="H431" s="4" t="s">
        <v>71</v>
      </c>
      <c r="I431" s="4"/>
      <c r="J431" s="4"/>
      <c r="K431" s="4">
        <v>203</v>
      </c>
      <c r="L431" s="4">
        <v>11</v>
      </c>
      <c r="M431" s="4">
        <v>3</v>
      </c>
      <c r="N431" s="4" t="s">
        <v>3</v>
      </c>
      <c r="O431" s="4">
        <v>2</v>
      </c>
      <c r="P431" s="4"/>
      <c r="Q431" s="4"/>
      <c r="R431" s="4"/>
      <c r="S431" s="4"/>
      <c r="T431" s="4"/>
      <c r="U431" s="4"/>
      <c r="V431" s="4"/>
      <c r="W431" s="4"/>
    </row>
    <row r="432" spans="1:245" x14ac:dyDescent="0.2">
      <c r="A432" s="4">
        <v>50</v>
      </c>
      <c r="B432" s="4">
        <v>0</v>
      </c>
      <c r="C432" s="4">
        <v>0</v>
      </c>
      <c r="D432" s="4">
        <v>1</v>
      </c>
      <c r="E432" s="4">
        <v>231</v>
      </c>
      <c r="F432" s="4">
        <f>ROUND(Source!BB419,O432)</f>
        <v>0</v>
      </c>
      <c r="G432" s="4" t="s">
        <v>72</v>
      </c>
      <c r="H432" s="4" t="s">
        <v>73</v>
      </c>
      <c r="I432" s="4"/>
      <c r="J432" s="4"/>
      <c r="K432" s="4">
        <v>231</v>
      </c>
      <c r="L432" s="4">
        <v>12</v>
      </c>
      <c r="M432" s="4">
        <v>3</v>
      </c>
      <c r="N432" s="4" t="s">
        <v>3</v>
      </c>
      <c r="O432" s="4">
        <v>2</v>
      </c>
      <c r="P432" s="4"/>
      <c r="Q432" s="4"/>
      <c r="R432" s="4"/>
      <c r="S432" s="4"/>
      <c r="T432" s="4"/>
      <c r="U432" s="4"/>
      <c r="V432" s="4"/>
      <c r="W432" s="4"/>
    </row>
    <row r="433" spans="1:23" x14ac:dyDescent="0.2">
      <c r="A433" s="4">
        <v>50</v>
      </c>
      <c r="B433" s="4">
        <v>0</v>
      </c>
      <c r="C433" s="4">
        <v>0</v>
      </c>
      <c r="D433" s="4">
        <v>1</v>
      </c>
      <c r="E433" s="4">
        <v>204</v>
      </c>
      <c r="F433" s="4">
        <f>ROUND(Source!R419,O433)</f>
        <v>6680.43</v>
      </c>
      <c r="G433" s="4" t="s">
        <v>74</v>
      </c>
      <c r="H433" s="4" t="s">
        <v>75</v>
      </c>
      <c r="I433" s="4"/>
      <c r="J433" s="4"/>
      <c r="K433" s="4">
        <v>204</v>
      </c>
      <c r="L433" s="4">
        <v>13</v>
      </c>
      <c r="M433" s="4">
        <v>3</v>
      </c>
      <c r="N433" s="4" t="s">
        <v>3</v>
      </c>
      <c r="O433" s="4">
        <v>2</v>
      </c>
      <c r="P433" s="4"/>
      <c r="Q433" s="4"/>
      <c r="R433" s="4"/>
      <c r="S433" s="4"/>
      <c r="T433" s="4"/>
      <c r="U433" s="4"/>
      <c r="V433" s="4"/>
      <c r="W433" s="4"/>
    </row>
    <row r="434" spans="1:23" x14ac:dyDescent="0.2">
      <c r="A434" s="4">
        <v>50</v>
      </c>
      <c r="B434" s="4">
        <v>0</v>
      </c>
      <c r="C434" s="4">
        <v>0</v>
      </c>
      <c r="D434" s="4">
        <v>1</v>
      </c>
      <c r="E434" s="4">
        <v>205</v>
      </c>
      <c r="F434" s="4">
        <f>ROUND(Source!S419,O434)</f>
        <v>34412.49</v>
      </c>
      <c r="G434" s="4" t="s">
        <v>76</v>
      </c>
      <c r="H434" s="4" t="s">
        <v>77</v>
      </c>
      <c r="I434" s="4"/>
      <c r="J434" s="4"/>
      <c r="K434" s="4">
        <v>205</v>
      </c>
      <c r="L434" s="4">
        <v>14</v>
      </c>
      <c r="M434" s="4">
        <v>3</v>
      </c>
      <c r="N434" s="4" t="s">
        <v>3</v>
      </c>
      <c r="O434" s="4">
        <v>2</v>
      </c>
      <c r="P434" s="4"/>
      <c r="Q434" s="4"/>
      <c r="R434" s="4"/>
      <c r="S434" s="4"/>
      <c r="T434" s="4"/>
      <c r="U434" s="4"/>
      <c r="V434" s="4"/>
      <c r="W434" s="4"/>
    </row>
    <row r="435" spans="1:23" x14ac:dyDescent="0.2">
      <c r="A435" s="4">
        <v>50</v>
      </c>
      <c r="B435" s="4">
        <v>0</v>
      </c>
      <c r="C435" s="4">
        <v>0</v>
      </c>
      <c r="D435" s="4">
        <v>1</v>
      </c>
      <c r="E435" s="4">
        <v>232</v>
      </c>
      <c r="F435" s="4">
        <f>ROUND(Source!BC419,O435)</f>
        <v>0</v>
      </c>
      <c r="G435" s="4" t="s">
        <v>78</v>
      </c>
      <c r="H435" s="4" t="s">
        <v>79</v>
      </c>
      <c r="I435" s="4"/>
      <c r="J435" s="4"/>
      <c r="K435" s="4">
        <v>232</v>
      </c>
      <c r="L435" s="4">
        <v>15</v>
      </c>
      <c r="M435" s="4">
        <v>3</v>
      </c>
      <c r="N435" s="4" t="s">
        <v>3</v>
      </c>
      <c r="O435" s="4">
        <v>2</v>
      </c>
      <c r="P435" s="4"/>
      <c r="Q435" s="4"/>
      <c r="R435" s="4"/>
      <c r="S435" s="4"/>
      <c r="T435" s="4"/>
      <c r="U435" s="4"/>
      <c r="V435" s="4"/>
      <c r="W435" s="4"/>
    </row>
    <row r="436" spans="1:23" x14ac:dyDescent="0.2">
      <c r="A436" s="4">
        <v>50</v>
      </c>
      <c r="B436" s="4">
        <v>0</v>
      </c>
      <c r="C436" s="4">
        <v>0</v>
      </c>
      <c r="D436" s="4">
        <v>1</v>
      </c>
      <c r="E436" s="4">
        <v>214</v>
      </c>
      <c r="F436" s="4">
        <f>ROUND(Source!AS419,O436)</f>
        <v>0</v>
      </c>
      <c r="G436" s="4" t="s">
        <v>80</v>
      </c>
      <c r="H436" s="4" t="s">
        <v>81</v>
      </c>
      <c r="I436" s="4"/>
      <c r="J436" s="4"/>
      <c r="K436" s="4">
        <v>214</v>
      </c>
      <c r="L436" s="4">
        <v>16</v>
      </c>
      <c r="M436" s="4">
        <v>3</v>
      </c>
      <c r="N436" s="4" t="s">
        <v>3</v>
      </c>
      <c r="O436" s="4">
        <v>2</v>
      </c>
      <c r="P436" s="4"/>
      <c r="Q436" s="4"/>
      <c r="R436" s="4"/>
      <c r="S436" s="4"/>
      <c r="T436" s="4"/>
      <c r="U436" s="4"/>
      <c r="V436" s="4"/>
      <c r="W436" s="4"/>
    </row>
    <row r="437" spans="1:23" x14ac:dyDescent="0.2">
      <c r="A437" s="4">
        <v>50</v>
      </c>
      <c r="B437" s="4">
        <v>0</v>
      </c>
      <c r="C437" s="4">
        <v>0</v>
      </c>
      <c r="D437" s="4">
        <v>1</v>
      </c>
      <c r="E437" s="4">
        <v>215</v>
      </c>
      <c r="F437" s="4">
        <f>ROUND(Source!AT419,O437)</f>
        <v>0</v>
      </c>
      <c r="G437" s="4" t="s">
        <v>82</v>
      </c>
      <c r="H437" s="4" t="s">
        <v>83</v>
      </c>
      <c r="I437" s="4"/>
      <c r="J437" s="4"/>
      <c r="K437" s="4">
        <v>215</v>
      </c>
      <c r="L437" s="4">
        <v>17</v>
      </c>
      <c r="M437" s="4">
        <v>3</v>
      </c>
      <c r="N437" s="4" t="s">
        <v>3</v>
      </c>
      <c r="O437" s="4">
        <v>2</v>
      </c>
      <c r="P437" s="4"/>
      <c r="Q437" s="4"/>
      <c r="R437" s="4"/>
      <c r="S437" s="4"/>
      <c r="T437" s="4"/>
      <c r="U437" s="4"/>
      <c r="V437" s="4"/>
      <c r="W437" s="4"/>
    </row>
    <row r="438" spans="1:23" x14ac:dyDescent="0.2">
      <c r="A438" s="4">
        <v>50</v>
      </c>
      <c r="B438" s="4">
        <v>0</v>
      </c>
      <c r="C438" s="4">
        <v>0</v>
      </c>
      <c r="D438" s="4">
        <v>1</v>
      </c>
      <c r="E438" s="4">
        <v>217</v>
      </c>
      <c r="F438" s="4">
        <f>ROUND(Source!AU419,O438)</f>
        <v>128606.51</v>
      </c>
      <c r="G438" s="4" t="s">
        <v>84</v>
      </c>
      <c r="H438" s="4" t="s">
        <v>85</v>
      </c>
      <c r="I438" s="4"/>
      <c r="J438" s="4"/>
      <c r="K438" s="4">
        <v>217</v>
      </c>
      <c r="L438" s="4">
        <v>18</v>
      </c>
      <c r="M438" s="4">
        <v>3</v>
      </c>
      <c r="N438" s="4" t="s">
        <v>3</v>
      </c>
      <c r="O438" s="4">
        <v>2</v>
      </c>
      <c r="P438" s="4"/>
      <c r="Q438" s="4"/>
      <c r="R438" s="4"/>
      <c r="S438" s="4"/>
      <c r="T438" s="4"/>
      <c r="U438" s="4"/>
      <c r="V438" s="4"/>
      <c r="W438" s="4"/>
    </row>
    <row r="439" spans="1:23" x14ac:dyDescent="0.2">
      <c r="A439" s="4">
        <v>50</v>
      </c>
      <c r="B439" s="4">
        <v>0</v>
      </c>
      <c r="C439" s="4">
        <v>0</v>
      </c>
      <c r="D439" s="4">
        <v>1</v>
      </c>
      <c r="E439" s="4">
        <v>230</v>
      </c>
      <c r="F439" s="4">
        <f>ROUND(Source!BA419,O439)</f>
        <v>0</v>
      </c>
      <c r="G439" s="4" t="s">
        <v>86</v>
      </c>
      <c r="H439" s="4" t="s">
        <v>87</v>
      </c>
      <c r="I439" s="4"/>
      <c r="J439" s="4"/>
      <c r="K439" s="4">
        <v>230</v>
      </c>
      <c r="L439" s="4">
        <v>19</v>
      </c>
      <c r="M439" s="4">
        <v>3</v>
      </c>
      <c r="N439" s="4" t="s">
        <v>3</v>
      </c>
      <c r="O439" s="4">
        <v>2</v>
      </c>
      <c r="P439" s="4"/>
      <c r="Q439" s="4"/>
      <c r="R439" s="4"/>
      <c r="S439" s="4"/>
      <c r="T439" s="4"/>
      <c r="U439" s="4"/>
      <c r="V439" s="4"/>
      <c r="W439" s="4"/>
    </row>
    <row r="440" spans="1:23" x14ac:dyDescent="0.2">
      <c r="A440" s="4">
        <v>50</v>
      </c>
      <c r="B440" s="4">
        <v>0</v>
      </c>
      <c r="C440" s="4">
        <v>0</v>
      </c>
      <c r="D440" s="4">
        <v>1</v>
      </c>
      <c r="E440" s="4">
        <v>206</v>
      </c>
      <c r="F440" s="4">
        <f>ROUND(Source!T419,O440)</f>
        <v>0</v>
      </c>
      <c r="G440" s="4" t="s">
        <v>88</v>
      </c>
      <c r="H440" s="4" t="s">
        <v>89</v>
      </c>
      <c r="I440" s="4"/>
      <c r="J440" s="4"/>
      <c r="K440" s="4">
        <v>206</v>
      </c>
      <c r="L440" s="4">
        <v>20</v>
      </c>
      <c r="M440" s="4">
        <v>3</v>
      </c>
      <c r="N440" s="4" t="s">
        <v>3</v>
      </c>
      <c r="O440" s="4">
        <v>2</v>
      </c>
      <c r="P440" s="4"/>
      <c r="Q440" s="4"/>
      <c r="R440" s="4"/>
      <c r="S440" s="4"/>
      <c r="T440" s="4"/>
      <c r="U440" s="4"/>
      <c r="V440" s="4"/>
      <c r="W440" s="4"/>
    </row>
    <row r="441" spans="1:23" x14ac:dyDescent="0.2">
      <c r="A441" s="4">
        <v>50</v>
      </c>
      <c r="B441" s="4">
        <v>0</v>
      </c>
      <c r="C441" s="4">
        <v>0</v>
      </c>
      <c r="D441" s="4">
        <v>1</v>
      </c>
      <c r="E441" s="4">
        <v>207</v>
      </c>
      <c r="F441" s="4">
        <f>Source!U419</f>
        <v>154.012291</v>
      </c>
      <c r="G441" s="4" t="s">
        <v>90</v>
      </c>
      <c r="H441" s="4" t="s">
        <v>91</v>
      </c>
      <c r="I441" s="4"/>
      <c r="J441" s="4"/>
      <c r="K441" s="4">
        <v>207</v>
      </c>
      <c r="L441" s="4">
        <v>21</v>
      </c>
      <c r="M441" s="4">
        <v>3</v>
      </c>
      <c r="N441" s="4" t="s">
        <v>3</v>
      </c>
      <c r="O441" s="4">
        <v>-1</v>
      </c>
      <c r="P441" s="4"/>
      <c r="Q441" s="4"/>
      <c r="R441" s="4"/>
      <c r="S441" s="4"/>
      <c r="T441" s="4"/>
      <c r="U441" s="4"/>
      <c r="V441" s="4"/>
      <c r="W441" s="4"/>
    </row>
    <row r="442" spans="1:23" x14ac:dyDescent="0.2">
      <c r="A442" s="4">
        <v>50</v>
      </c>
      <c r="B442" s="4">
        <v>0</v>
      </c>
      <c r="C442" s="4">
        <v>0</v>
      </c>
      <c r="D442" s="4">
        <v>1</v>
      </c>
      <c r="E442" s="4">
        <v>208</v>
      </c>
      <c r="F442" s="4">
        <f>Source!V419</f>
        <v>0</v>
      </c>
      <c r="G442" s="4" t="s">
        <v>92</v>
      </c>
      <c r="H442" s="4" t="s">
        <v>93</v>
      </c>
      <c r="I442" s="4"/>
      <c r="J442" s="4"/>
      <c r="K442" s="4">
        <v>208</v>
      </c>
      <c r="L442" s="4">
        <v>22</v>
      </c>
      <c r="M442" s="4">
        <v>3</v>
      </c>
      <c r="N442" s="4" t="s">
        <v>3</v>
      </c>
      <c r="O442" s="4">
        <v>-1</v>
      </c>
      <c r="P442" s="4"/>
      <c r="Q442" s="4"/>
      <c r="R442" s="4"/>
      <c r="S442" s="4"/>
      <c r="T442" s="4"/>
      <c r="U442" s="4"/>
      <c r="V442" s="4"/>
      <c r="W442" s="4"/>
    </row>
    <row r="443" spans="1:23" x14ac:dyDescent="0.2">
      <c r="A443" s="4">
        <v>50</v>
      </c>
      <c r="B443" s="4">
        <v>0</v>
      </c>
      <c r="C443" s="4">
        <v>0</v>
      </c>
      <c r="D443" s="4">
        <v>1</v>
      </c>
      <c r="E443" s="4">
        <v>209</v>
      </c>
      <c r="F443" s="4">
        <f>ROUND(Source!W419,O443)</f>
        <v>0</v>
      </c>
      <c r="G443" s="4" t="s">
        <v>94</v>
      </c>
      <c r="H443" s="4" t="s">
        <v>95</v>
      </c>
      <c r="I443" s="4"/>
      <c r="J443" s="4"/>
      <c r="K443" s="4">
        <v>209</v>
      </c>
      <c r="L443" s="4">
        <v>23</v>
      </c>
      <c r="M443" s="4">
        <v>3</v>
      </c>
      <c r="N443" s="4" t="s">
        <v>3</v>
      </c>
      <c r="O443" s="4">
        <v>2</v>
      </c>
      <c r="P443" s="4"/>
      <c r="Q443" s="4"/>
      <c r="R443" s="4"/>
      <c r="S443" s="4"/>
      <c r="T443" s="4"/>
      <c r="U443" s="4"/>
      <c r="V443" s="4"/>
      <c r="W443" s="4"/>
    </row>
    <row r="444" spans="1:23" x14ac:dyDescent="0.2">
      <c r="A444" s="4">
        <v>50</v>
      </c>
      <c r="B444" s="4">
        <v>0</v>
      </c>
      <c r="C444" s="4">
        <v>0</v>
      </c>
      <c r="D444" s="4">
        <v>1</v>
      </c>
      <c r="E444" s="4">
        <v>233</v>
      </c>
      <c r="F444" s="4">
        <f>ROUND(Source!BD419,O444)</f>
        <v>0</v>
      </c>
      <c r="G444" s="4" t="s">
        <v>96</v>
      </c>
      <c r="H444" s="4" t="s">
        <v>97</v>
      </c>
      <c r="I444" s="4"/>
      <c r="J444" s="4"/>
      <c r="K444" s="4">
        <v>233</v>
      </c>
      <c r="L444" s="4">
        <v>24</v>
      </c>
      <c r="M444" s="4">
        <v>3</v>
      </c>
      <c r="N444" s="4" t="s">
        <v>3</v>
      </c>
      <c r="O444" s="4">
        <v>2</v>
      </c>
      <c r="P444" s="4"/>
      <c r="Q444" s="4"/>
      <c r="R444" s="4"/>
      <c r="S444" s="4"/>
      <c r="T444" s="4"/>
      <c r="U444" s="4"/>
      <c r="V444" s="4"/>
      <c r="W444" s="4"/>
    </row>
    <row r="445" spans="1:23" x14ac:dyDescent="0.2">
      <c r="A445" s="4">
        <v>50</v>
      </c>
      <c r="B445" s="4">
        <v>0</v>
      </c>
      <c r="C445" s="4">
        <v>0</v>
      </c>
      <c r="D445" s="4">
        <v>1</v>
      </c>
      <c r="E445" s="4">
        <v>210</v>
      </c>
      <c r="F445" s="4">
        <f>ROUND(Source!X419,O445)</f>
        <v>24088.74</v>
      </c>
      <c r="G445" s="4" t="s">
        <v>98</v>
      </c>
      <c r="H445" s="4" t="s">
        <v>99</v>
      </c>
      <c r="I445" s="4"/>
      <c r="J445" s="4"/>
      <c r="K445" s="4">
        <v>210</v>
      </c>
      <c r="L445" s="4">
        <v>25</v>
      </c>
      <c r="M445" s="4">
        <v>3</v>
      </c>
      <c r="N445" s="4" t="s">
        <v>3</v>
      </c>
      <c r="O445" s="4">
        <v>2</v>
      </c>
      <c r="P445" s="4"/>
      <c r="Q445" s="4"/>
      <c r="R445" s="4"/>
      <c r="S445" s="4"/>
      <c r="T445" s="4"/>
      <c r="U445" s="4"/>
      <c r="V445" s="4"/>
      <c r="W445" s="4"/>
    </row>
    <row r="446" spans="1:23" x14ac:dyDescent="0.2">
      <c r="A446" s="4">
        <v>50</v>
      </c>
      <c r="B446" s="4">
        <v>0</v>
      </c>
      <c r="C446" s="4">
        <v>0</v>
      </c>
      <c r="D446" s="4">
        <v>1</v>
      </c>
      <c r="E446" s="4">
        <v>211</v>
      </c>
      <c r="F446" s="4">
        <f>ROUND(Source!Y419,O446)</f>
        <v>3441.24</v>
      </c>
      <c r="G446" s="4" t="s">
        <v>100</v>
      </c>
      <c r="H446" s="4" t="s">
        <v>101</v>
      </c>
      <c r="I446" s="4"/>
      <c r="J446" s="4"/>
      <c r="K446" s="4">
        <v>211</v>
      </c>
      <c r="L446" s="4">
        <v>26</v>
      </c>
      <c r="M446" s="4">
        <v>3</v>
      </c>
      <c r="N446" s="4" t="s">
        <v>3</v>
      </c>
      <c r="O446" s="4">
        <v>2</v>
      </c>
      <c r="P446" s="4"/>
      <c r="Q446" s="4"/>
      <c r="R446" s="4"/>
      <c r="S446" s="4"/>
      <c r="T446" s="4"/>
      <c r="U446" s="4"/>
      <c r="V446" s="4"/>
      <c r="W446" s="4"/>
    </row>
    <row r="447" spans="1:23" x14ac:dyDescent="0.2">
      <c r="A447" s="4">
        <v>50</v>
      </c>
      <c r="B447" s="4">
        <v>0</v>
      </c>
      <c r="C447" s="4">
        <v>0</v>
      </c>
      <c r="D447" s="4">
        <v>1</v>
      </c>
      <c r="E447" s="4">
        <v>224</v>
      </c>
      <c r="F447" s="4">
        <f>ROUND(Source!AR419,O447)</f>
        <v>128606.51</v>
      </c>
      <c r="G447" s="4" t="s">
        <v>102</v>
      </c>
      <c r="H447" s="4" t="s">
        <v>103</v>
      </c>
      <c r="I447" s="4"/>
      <c r="J447" s="4"/>
      <c r="K447" s="4">
        <v>224</v>
      </c>
      <c r="L447" s="4">
        <v>27</v>
      </c>
      <c r="M447" s="4">
        <v>3</v>
      </c>
      <c r="N447" s="4" t="s">
        <v>3</v>
      </c>
      <c r="O447" s="4">
        <v>2</v>
      </c>
      <c r="P447" s="4"/>
      <c r="Q447" s="4"/>
      <c r="R447" s="4"/>
      <c r="S447" s="4"/>
      <c r="T447" s="4"/>
      <c r="U447" s="4"/>
      <c r="V447" s="4"/>
      <c r="W447" s="4"/>
    </row>
    <row r="449" spans="1:206" x14ac:dyDescent="0.2">
      <c r="A449" s="2">
        <v>51</v>
      </c>
      <c r="B449" s="2">
        <f>B402</f>
        <v>1</v>
      </c>
      <c r="C449" s="2">
        <f>A402</f>
        <v>4</v>
      </c>
      <c r="D449" s="2">
        <f>ROW(A402)</f>
        <v>402</v>
      </c>
      <c r="E449" s="2"/>
      <c r="F449" s="2" t="str">
        <f>IF(F402&lt;&gt;"",F402,"")</f>
        <v>Новый раздел</v>
      </c>
      <c r="G449" s="2" t="str">
        <f>IF(G402&lt;&gt;"",G402,"")</f>
        <v>Дорожки до веранд</v>
      </c>
      <c r="H449" s="2">
        <v>0</v>
      </c>
      <c r="I449" s="2"/>
      <c r="J449" s="2"/>
      <c r="K449" s="2"/>
      <c r="L449" s="2"/>
      <c r="M449" s="2"/>
      <c r="N449" s="2"/>
      <c r="O449" s="2">
        <f t="shared" ref="O449:T449" si="239">ROUND(O419+AB449,2)</f>
        <v>93861.67</v>
      </c>
      <c r="P449" s="2">
        <f t="shared" si="239"/>
        <v>47759.27</v>
      </c>
      <c r="Q449" s="2">
        <f t="shared" si="239"/>
        <v>11689.91</v>
      </c>
      <c r="R449" s="2">
        <f t="shared" si="239"/>
        <v>6680.43</v>
      </c>
      <c r="S449" s="2">
        <f t="shared" si="239"/>
        <v>34412.49</v>
      </c>
      <c r="T449" s="2">
        <f t="shared" si="239"/>
        <v>0</v>
      </c>
      <c r="U449" s="2">
        <f>U419+AH449</f>
        <v>154.012291</v>
      </c>
      <c r="V449" s="2">
        <f>V419+AI449</f>
        <v>0</v>
      </c>
      <c r="W449" s="2">
        <f>ROUND(W419+AJ449,2)</f>
        <v>0</v>
      </c>
      <c r="X449" s="2">
        <f>ROUND(X419+AK449,2)</f>
        <v>24088.74</v>
      </c>
      <c r="Y449" s="2">
        <f>ROUND(Y419+AL449,2)</f>
        <v>3441.24</v>
      </c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>
        <f t="shared" ref="AO449:BD449" si="240">ROUND(AO419+BX449,2)</f>
        <v>0</v>
      </c>
      <c r="AP449" s="2">
        <f t="shared" si="240"/>
        <v>0</v>
      </c>
      <c r="AQ449" s="2">
        <f t="shared" si="240"/>
        <v>0</v>
      </c>
      <c r="AR449" s="2">
        <f t="shared" si="240"/>
        <v>128606.51</v>
      </c>
      <c r="AS449" s="2">
        <f t="shared" si="240"/>
        <v>0</v>
      </c>
      <c r="AT449" s="2">
        <f t="shared" si="240"/>
        <v>0</v>
      </c>
      <c r="AU449" s="2">
        <f t="shared" si="240"/>
        <v>128606.51</v>
      </c>
      <c r="AV449" s="2">
        <f t="shared" si="240"/>
        <v>47759.27</v>
      </c>
      <c r="AW449" s="2">
        <f t="shared" si="240"/>
        <v>47759.27</v>
      </c>
      <c r="AX449" s="2">
        <f t="shared" si="240"/>
        <v>0</v>
      </c>
      <c r="AY449" s="2">
        <f t="shared" si="240"/>
        <v>47759.27</v>
      </c>
      <c r="AZ449" s="2">
        <f t="shared" si="240"/>
        <v>0</v>
      </c>
      <c r="BA449" s="2">
        <f t="shared" si="240"/>
        <v>0</v>
      </c>
      <c r="BB449" s="2">
        <f t="shared" si="240"/>
        <v>0</v>
      </c>
      <c r="BC449" s="2">
        <f t="shared" si="240"/>
        <v>0</v>
      </c>
      <c r="BD449" s="2">
        <f t="shared" si="240"/>
        <v>0</v>
      </c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  <c r="FJ449" s="3"/>
      <c r="FK449" s="3"/>
      <c r="FL449" s="3"/>
      <c r="FM449" s="3"/>
      <c r="FN449" s="3"/>
      <c r="FO449" s="3"/>
      <c r="FP449" s="3"/>
      <c r="FQ449" s="3"/>
      <c r="FR449" s="3"/>
      <c r="FS449" s="3"/>
      <c r="FT449" s="3"/>
      <c r="FU449" s="3"/>
      <c r="FV449" s="3"/>
      <c r="FW449" s="3"/>
      <c r="FX449" s="3"/>
      <c r="FY449" s="3"/>
      <c r="FZ449" s="3"/>
      <c r="GA449" s="3"/>
      <c r="GB449" s="3"/>
      <c r="GC449" s="3"/>
      <c r="GD449" s="3"/>
      <c r="GE449" s="3"/>
      <c r="GF449" s="3"/>
      <c r="GG449" s="3"/>
      <c r="GH449" s="3"/>
      <c r="GI449" s="3"/>
      <c r="GJ449" s="3"/>
      <c r="GK449" s="3"/>
      <c r="GL449" s="3"/>
      <c r="GM449" s="3"/>
      <c r="GN449" s="3"/>
      <c r="GO449" s="3"/>
      <c r="GP449" s="3"/>
      <c r="GQ449" s="3"/>
      <c r="GR449" s="3"/>
      <c r="GS449" s="3"/>
      <c r="GT449" s="3"/>
      <c r="GU449" s="3"/>
      <c r="GV449" s="3"/>
      <c r="GW449" s="3"/>
      <c r="GX449" s="3">
        <v>0</v>
      </c>
    </row>
    <row r="451" spans="1:206" x14ac:dyDescent="0.2">
      <c r="A451" s="4">
        <v>50</v>
      </c>
      <c r="B451" s="4">
        <v>0</v>
      </c>
      <c r="C451" s="4">
        <v>0</v>
      </c>
      <c r="D451" s="4">
        <v>1</v>
      </c>
      <c r="E451" s="4">
        <v>201</v>
      </c>
      <c r="F451" s="4">
        <f>ROUND(Source!O449,O451)</f>
        <v>93861.67</v>
      </c>
      <c r="G451" s="4" t="s">
        <v>50</v>
      </c>
      <c r="H451" s="4" t="s">
        <v>51</v>
      </c>
      <c r="I451" s="4"/>
      <c r="J451" s="4"/>
      <c r="K451" s="4">
        <v>201</v>
      </c>
      <c r="L451" s="4">
        <v>1</v>
      </c>
      <c r="M451" s="4">
        <v>3</v>
      </c>
      <c r="N451" s="4" t="s">
        <v>3</v>
      </c>
      <c r="O451" s="4">
        <v>2</v>
      </c>
      <c r="P451" s="4"/>
      <c r="Q451" s="4"/>
      <c r="R451" s="4"/>
      <c r="S451" s="4"/>
      <c r="T451" s="4"/>
      <c r="U451" s="4"/>
      <c r="V451" s="4"/>
      <c r="W451" s="4"/>
    </row>
    <row r="452" spans="1:206" x14ac:dyDescent="0.2">
      <c r="A452" s="4">
        <v>50</v>
      </c>
      <c r="B452" s="4">
        <v>0</v>
      </c>
      <c r="C452" s="4">
        <v>0</v>
      </c>
      <c r="D452" s="4">
        <v>1</v>
      </c>
      <c r="E452" s="4">
        <v>202</v>
      </c>
      <c r="F452" s="4">
        <f>ROUND(Source!P449,O452)</f>
        <v>47759.27</v>
      </c>
      <c r="G452" s="4" t="s">
        <v>52</v>
      </c>
      <c r="H452" s="4" t="s">
        <v>53</v>
      </c>
      <c r="I452" s="4"/>
      <c r="J452" s="4"/>
      <c r="K452" s="4">
        <v>202</v>
      </c>
      <c r="L452" s="4">
        <v>2</v>
      </c>
      <c r="M452" s="4">
        <v>3</v>
      </c>
      <c r="N452" s="4" t="s">
        <v>3</v>
      </c>
      <c r="O452" s="4">
        <v>2</v>
      </c>
      <c r="P452" s="4"/>
      <c r="Q452" s="4"/>
      <c r="R452" s="4"/>
      <c r="S452" s="4"/>
      <c r="T452" s="4"/>
      <c r="U452" s="4"/>
      <c r="V452" s="4"/>
      <c r="W452" s="4"/>
    </row>
    <row r="453" spans="1:206" x14ac:dyDescent="0.2">
      <c r="A453" s="4">
        <v>50</v>
      </c>
      <c r="B453" s="4">
        <v>0</v>
      </c>
      <c r="C453" s="4">
        <v>0</v>
      </c>
      <c r="D453" s="4">
        <v>1</v>
      </c>
      <c r="E453" s="4">
        <v>222</v>
      </c>
      <c r="F453" s="4">
        <f>ROUND(Source!AO449,O453)</f>
        <v>0</v>
      </c>
      <c r="G453" s="4" t="s">
        <v>54</v>
      </c>
      <c r="H453" s="4" t="s">
        <v>55</v>
      </c>
      <c r="I453" s="4"/>
      <c r="J453" s="4"/>
      <c r="K453" s="4">
        <v>222</v>
      </c>
      <c r="L453" s="4">
        <v>3</v>
      </c>
      <c r="M453" s="4">
        <v>3</v>
      </c>
      <c r="N453" s="4" t="s">
        <v>3</v>
      </c>
      <c r="O453" s="4">
        <v>2</v>
      </c>
      <c r="P453" s="4"/>
      <c r="Q453" s="4"/>
      <c r="R453" s="4"/>
      <c r="S453" s="4"/>
      <c r="T453" s="4"/>
      <c r="U453" s="4"/>
      <c r="V453" s="4"/>
      <c r="W453" s="4"/>
    </row>
    <row r="454" spans="1:206" x14ac:dyDescent="0.2">
      <c r="A454" s="4">
        <v>50</v>
      </c>
      <c r="B454" s="4">
        <v>0</v>
      </c>
      <c r="C454" s="4">
        <v>0</v>
      </c>
      <c r="D454" s="4">
        <v>1</v>
      </c>
      <c r="E454" s="4">
        <v>225</v>
      </c>
      <c r="F454" s="4">
        <f>ROUND(Source!AV449,O454)</f>
        <v>47759.27</v>
      </c>
      <c r="G454" s="4" t="s">
        <v>56</v>
      </c>
      <c r="H454" s="4" t="s">
        <v>57</v>
      </c>
      <c r="I454" s="4"/>
      <c r="J454" s="4"/>
      <c r="K454" s="4">
        <v>225</v>
      </c>
      <c r="L454" s="4">
        <v>4</v>
      </c>
      <c r="M454" s="4">
        <v>3</v>
      </c>
      <c r="N454" s="4" t="s">
        <v>3</v>
      </c>
      <c r="O454" s="4">
        <v>2</v>
      </c>
      <c r="P454" s="4"/>
      <c r="Q454" s="4"/>
      <c r="R454" s="4"/>
      <c r="S454" s="4"/>
      <c r="T454" s="4"/>
      <c r="U454" s="4"/>
      <c r="V454" s="4"/>
      <c r="W454" s="4"/>
    </row>
    <row r="455" spans="1:206" x14ac:dyDescent="0.2">
      <c r="A455" s="4">
        <v>50</v>
      </c>
      <c r="B455" s="4">
        <v>0</v>
      </c>
      <c r="C455" s="4">
        <v>0</v>
      </c>
      <c r="D455" s="4">
        <v>1</v>
      </c>
      <c r="E455" s="4">
        <v>226</v>
      </c>
      <c r="F455" s="4">
        <f>ROUND(Source!AW449,O455)</f>
        <v>47759.27</v>
      </c>
      <c r="G455" s="4" t="s">
        <v>58</v>
      </c>
      <c r="H455" s="4" t="s">
        <v>59</v>
      </c>
      <c r="I455" s="4"/>
      <c r="J455" s="4"/>
      <c r="K455" s="4">
        <v>226</v>
      </c>
      <c r="L455" s="4">
        <v>5</v>
      </c>
      <c r="M455" s="4">
        <v>3</v>
      </c>
      <c r="N455" s="4" t="s">
        <v>3</v>
      </c>
      <c r="O455" s="4">
        <v>2</v>
      </c>
      <c r="P455" s="4"/>
      <c r="Q455" s="4"/>
      <c r="R455" s="4"/>
      <c r="S455" s="4"/>
      <c r="T455" s="4"/>
      <c r="U455" s="4"/>
      <c r="V455" s="4"/>
      <c r="W455" s="4"/>
    </row>
    <row r="456" spans="1:206" x14ac:dyDescent="0.2">
      <c r="A456" s="4">
        <v>50</v>
      </c>
      <c r="B456" s="4">
        <v>0</v>
      </c>
      <c r="C456" s="4">
        <v>0</v>
      </c>
      <c r="D456" s="4">
        <v>1</v>
      </c>
      <c r="E456" s="4">
        <v>227</v>
      </c>
      <c r="F456" s="4">
        <f>ROUND(Source!AX449,O456)</f>
        <v>0</v>
      </c>
      <c r="G456" s="4" t="s">
        <v>60</v>
      </c>
      <c r="H456" s="4" t="s">
        <v>61</v>
      </c>
      <c r="I456" s="4"/>
      <c r="J456" s="4"/>
      <c r="K456" s="4">
        <v>227</v>
      </c>
      <c r="L456" s="4">
        <v>6</v>
      </c>
      <c r="M456" s="4">
        <v>3</v>
      </c>
      <c r="N456" s="4" t="s">
        <v>3</v>
      </c>
      <c r="O456" s="4">
        <v>2</v>
      </c>
      <c r="P456" s="4"/>
      <c r="Q456" s="4"/>
      <c r="R456" s="4"/>
      <c r="S456" s="4"/>
      <c r="T456" s="4"/>
      <c r="U456" s="4"/>
      <c r="V456" s="4"/>
      <c r="W456" s="4"/>
    </row>
    <row r="457" spans="1:206" x14ac:dyDescent="0.2">
      <c r="A457" s="4">
        <v>50</v>
      </c>
      <c r="B457" s="4">
        <v>0</v>
      </c>
      <c r="C457" s="4">
        <v>0</v>
      </c>
      <c r="D457" s="4">
        <v>1</v>
      </c>
      <c r="E457" s="4">
        <v>228</v>
      </c>
      <c r="F457" s="4">
        <f>ROUND(Source!AY449,O457)</f>
        <v>47759.27</v>
      </c>
      <c r="G457" s="4" t="s">
        <v>62</v>
      </c>
      <c r="H457" s="4" t="s">
        <v>63</v>
      </c>
      <c r="I457" s="4"/>
      <c r="J457" s="4"/>
      <c r="K457" s="4">
        <v>228</v>
      </c>
      <c r="L457" s="4">
        <v>7</v>
      </c>
      <c r="M457" s="4">
        <v>3</v>
      </c>
      <c r="N457" s="4" t="s">
        <v>3</v>
      </c>
      <c r="O457" s="4">
        <v>2</v>
      </c>
      <c r="P457" s="4"/>
      <c r="Q457" s="4"/>
      <c r="R457" s="4"/>
      <c r="S457" s="4"/>
      <c r="T457" s="4"/>
      <c r="U457" s="4"/>
      <c r="V457" s="4"/>
      <c r="W457" s="4"/>
    </row>
    <row r="458" spans="1:206" x14ac:dyDescent="0.2">
      <c r="A458" s="4">
        <v>50</v>
      </c>
      <c r="B458" s="4">
        <v>0</v>
      </c>
      <c r="C458" s="4">
        <v>0</v>
      </c>
      <c r="D458" s="4">
        <v>1</v>
      </c>
      <c r="E458" s="4">
        <v>216</v>
      </c>
      <c r="F458" s="4">
        <f>ROUND(Source!AP449,O458)</f>
        <v>0</v>
      </c>
      <c r="G458" s="4" t="s">
        <v>64</v>
      </c>
      <c r="H458" s="4" t="s">
        <v>65</v>
      </c>
      <c r="I458" s="4"/>
      <c r="J458" s="4"/>
      <c r="K458" s="4">
        <v>216</v>
      </c>
      <c r="L458" s="4">
        <v>8</v>
      </c>
      <c r="M458" s="4">
        <v>3</v>
      </c>
      <c r="N458" s="4" t="s">
        <v>3</v>
      </c>
      <c r="O458" s="4">
        <v>2</v>
      </c>
      <c r="P458" s="4"/>
      <c r="Q458" s="4"/>
      <c r="R458" s="4"/>
      <c r="S458" s="4"/>
      <c r="T458" s="4"/>
      <c r="U458" s="4"/>
      <c r="V458" s="4"/>
      <c r="W458" s="4"/>
    </row>
    <row r="459" spans="1:206" x14ac:dyDescent="0.2">
      <c r="A459" s="4">
        <v>50</v>
      </c>
      <c r="B459" s="4">
        <v>0</v>
      </c>
      <c r="C459" s="4">
        <v>0</v>
      </c>
      <c r="D459" s="4">
        <v>1</v>
      </c>
      <c r="E459" s="4">
        <v>223</v>
      </c>
      <c r="F459" s="4">
        <f>ROUND(Source!AQ449,O459)</f>
        <v>0</v>
      </c>
      <c r="G459" s="4" t="s">
        <v>66</v>
      </c>
      <c r="H459" s="4" t="s">
        <v>67</v>
      </c>
      <c r="I459" s="4"/>
      <c r="J459" s="4"/>
      <c r="K459" s="4">
        <v>223</v>
      </c>
      <c r="L459" s="4">
        <v>9</v>
      </c>
      <c r="M459" s="4">
        <v>3</v>
      </c>
      <c r="N459" s="4" t="s">
        <v>3</v>
      </c>
      <c r="O459" s="4">
        <v>2</v>
      </c>
      <c r="P459" s="4"/>
      <c r="Q459" s="4"/>
      <c r="R459" s="4"/>
      <c r="S459" s="4"/>
      <c r="T459" s="4"/>
      <c r="U459" s="4"/>
      <c r="V459" s="4"/>
      <c r="W459" s="4"/>
    </row>
    <row r="460" spans="1:206" x14ac:dyDescent="0.2">
      <c r="A460" s="4">
        <v>50</v>
      </c>
      <c r="B460" s="4">
        <v>0</v>
      </c>
      <c r="C460" s="4">
        <v>0</v>
      </c>
      <c r="D460" s="4">
        <v>1</v>
      </c>
      <c r="E460" s="4">
        <v>229</v>
      </c>
      <c r="F460" s="4">
        <f>ROUND(Source!AZ449,O460)</f>
        <v>0</v>
      </c>
      <c r="G460" s="4" t="s">
        <v>68</v>
      </c>
      <c r="H460" s="4" t="s">
        <v>69</v>
      </c>
      <c r="I460" s="4"/>
      <c r="J460" s="4"/>
      <c r="K460" s="4">
        <v>229</v>
      </c>
      <c r="L460" s="4">
        <v>10</v>
      </c>
      <c r="M460" s="4">
        <v>3</v>
      </c>
      <c r="N460" s="4" t="s">
        <v>3</v>
      </c>
      <c r="O460" s="4">
        <v>2</v>
      </c>
      <c r="P460" s="4"/>
      <c r="Q460" s="4"/>
      <c r="R460" s="4"/>
      <c r="S460" s="4"/>
      <c r="T460" s="4"/>
      <c r="U460" s="4"/>
      <c r="V460" s="4"/>
      <c r="W460" s="4"/>
    </row>
    <row r="461" spans="1:206" x14ac:dyDescent="0.2">
      <c r="A461" s="4">
        <v>50</v>
      </c>
      <c r="B461" s="4">
        <v>0</v>
      </c>
      <c r="C461" s="4">
        <v>0</v>
      </c>
      <c r="D461" s="4">
        <v>1</v>
      </c>
      <c r="E461" s="4">
        <v>203</v>
      </c>
      <c r="F461" s="4">
        <f>ROUND(Source!Q449,O461)</f>
        <v>11689.91</v>
      </c>
      <c r="G461" s="4" t="s">
        <v>70</v>
      </c>
      <c r="H461" s="4" t="s">
        <v>71</v>
      </c>
      <c r="I461" s="4"/>
      <c r="J461" s="4"/>
      <c r="K461" s="4">
        <v>203</v>
      </c>
      <c r="L461" s="4">
        <v>11</v>
      </c>
      <c r="M461" s="4">
        <v>3</v>
      </c>
      <c r="N461" s="4" t="s">
        <v>3</v>
      </c>
      <c r="O461" s="4">
        <v>2</v>
      </c>
      <c r="P461" s="4"/>
      <c r="Q461" s="4"/>
      <c r="R461" s="4"/>
      <c r="S461" s="4"/>
      <c r="T461" s="4"/>
      <c r="U461" s="4"/>
      <c r="V461" s="4"/>
      <c r="W461" s="4"/>
    </row>
    <row r="462" spans="1:206" x14ac:dyDescent="0.2">
      <c r="A462" s="4">
        <v>50</v>
      </c>
      <c r="B462" s="4">
        <v>0</v>
      </c>
      <c r="C462" s="4">
        <v>0</v>
      </c>
      <c r="D462" s="4">
        <v>1</v>
      </c>
      <c r="E462" s="4">
        <v>231</v>
      </c>
      <c r="F462" s="4">
        <f>ROUND(Source!BB449,O462)</f>
        <v>0</v>
      </c>
      <c r="G462" s="4" t="s">
        <v>72</v>
      </c>
      <c r="H462" s="4" t="s">
        <v>73</v>
      </c>
      <c r="I462" s="4"/>
      <c r="J462" s="4"/>
      <c r="K462" s="4">
        <v>231</v>
      </c>
      <c r="L462" s="4">
        <v>12</v>
      </c>
      <c r="M462" s="4">
        <v>3</v>
      </c>
      <c r="N462" s="4" t="s">
        <v>3</v>
      </c>
      <c r="O462" s="4">
        <v>2</v>
      </c>
      <c r="P462" s="4"/>
      <c r="Q462" s="4"/>
      <c r="R462" s="4"/>
      <c r="S462" s="4"/>
      <c r="T462" s="4"/>
      <c r="U462" s="4"/>
      <c r="V462" s="4"/>
      <c r="W462" s="4"/>
    </row>
    <row r="463" spans="1:206" x14ac:dyDescent="0.2">
      <c r="A463" s="4">
        <v>50</v>
      </c>
      <c r="B463" s="4">
        <v>0</v>
      </c>
      <c r="C463" s="4">
        <v>0</v>
      </c>
      <c r="D463" s="4">
        <v>1</v>
      </c>
      <c r="E463" s="4">
        <v>204</v>
      </c>
      <c r="F463" s="4">
        <f>ROUND(Source!R449,O463)</f>
        <v>6680.43</v>
      </c>
      <c r="G463" s="4" t="s">
        <v>74</v>
      </c>
      <c r="H463" s="4" t="s">
        <v>75</v>
      </c>
      <c r="I463" s="4"/>
      <c r="J463" s="4"/>
      <c r="K463" s="4">
        <v>204</v>
      </c>
      <c r="L463" s="4">
        <v>13</v>
      </c>
      <c r="M463" s="4">
        <v>3</v>
      </c>
      <c r="N463" s="4" t="s">
        <v>3</v>
      </c>
      <c r="O463" s="4">
        <v>2</v>
      </c>
      <c r="P463" s="4"/>
      <c r="Q463" s="4"/>
      <c r="R463" s="4"/>
      <c r="S463" s="4"/>
      <c r="T463" s="4"/>
      <c r="U463" s="4"/>
      <c r="V463" s="4"/>
      <c r="W463" s="4"/>
    </row>
    <row r="464" spans="1:206" x14ac:dyDescent="0.2">
      <c r="A464" s="4">
        <v>50</v>
      </c>
      <c r="B464" s="4">
        <v>0</v>
      </c>
      <c r="C464" s="4">
        <v>0</v>
      </c>
      <c r="D464" s="4">
        <v>1</v>
      </c>
      <c r="E464" s="4">
        <v>205</v>
      </c>
      <c r="F464" s="4">
        <f>ROUND(Source!S449,O464)</f>
        <v>34412.49</v>
      </c>
      <c r="G464" s="4" t="s">
        <v>76</v>
      </c>
      <c r="H464" s="4" t="s">
        <v>77</v>
      </c>
      <c r="I464" s="4"/>
      <c r="J464" s="4"/>
      <c r="K464" s="4">
        <v>205</v>
      </c>
      <c r="L464" s="4">
        <v>14</v>
      </c>
      <c r="M464" s="4">
        <v>3</v>
      </c>
      <c r="N464" s="4" t="s">
        <v>3</v>
      </c>
      <c r="O464" s="4">
        <v>2</v>
      </c>
      <c r="P464" s="4"/>
      <c r="Q464" s="4"/>
      <c r="R464" s="4"/>
      <c r="S464" s="4"/>
      <c r="T464" s="4"/>
      <c r="U464" s="4"/>
      <c r="V464" s="4"/>
      <c r="W464" s="4"/>
    </row>
    <row r="465" spans="1:88" x14ac:dyDescent="0.2">
      <c r="A465" s="4">
        <v>50</v>
      </c>
      <c r="B465" s="4">
        <v>0</v>
      </c>
      <c r="C465" s="4">
        <v>0</v>
      </c>
      <c r="D465" s="4">
        <v>1</v>
      </c>
      <c r="E465" s="4">
        <v>232</v>
      </c>
      <c r="F465" s="4">
        <f>ROUND(Source!BC449,O465)</f>
        <v>0</v>
      </c>
      <c r="G465" s="4" t="s">
        <v>78</v>
      </c>
      <c r="H465" s="4" t="s">
        <v>79</v>
      </c>
      <c r="I465" s="4"/>
      <c r="J465" s="4"/>
      <c r="K465" s="4">
        <v>232</v>
      </c>
      <c r="L465" s="4">
        <v>15</v>
      </c>
      <c r="M465" s="4">
        <v>3</v>
      </c>
      <c r="N465" s="4" t="s">
        <v>3</v>
      </c>
      <c r="O465" s="4">
        <v>2</v>
      </c>
      <c r="P465" s="4"/>
      <c r="Q465" s="4"/>
      <c r="R465" s="4"/>
      <c r="S465" s="4"/>
      <c r="T465" s="4"/>
      <c r="U465" s="4"/>
      <c r="V465" s="4"/>
      <c r="W465" s="4"/>
    </row>
    <row r="466" spans="1:88" x14ac:dyDescent="0.2">
      <c r="A466" s="4">
        <v>50</v>
      </c>
      <c r="B466" s="4">
        <v>0</v>
      </c>
      <c r="C466" s="4">
        <v>0</v>
      </c>
      <c r="D466" s="4">
        <v>1</v>
      </c>
      <c r="E466" s="4">
        <v>214</v>
      </c>
      <c r="F466" s="4">
        <f>ROUND(Source!AS449,O466)</f>
        <v>0</v>
      </c>
      <c r="G466" s="4" t="s">
        <v>80</v>
      </c>
      <c r="H466" s="4" t="s">
        <v>81</v>
      </c>
      <c r="I466" s="4"/>
      <c r="J466" s="4"/>
      <c r="K466" s="4">
        <v>214</v>
      </c>
      <c r="L466" s="4">
        <v>16</v>
      </c>
      <c r="M466" s="4">
        <v>3</v>
      </c>
      <c r="N466" s="4" t="s">
        <v>3</v>
      </c>
      <c r="O466" s="4">
        <v>2</v>
      </c>
      <c r="P466" s="4"/>
      <c r="Q466" s="4"/>
      <c r="R466" s="4"/>
      <c r="S466" s="4"/>
      <c r="T466" s="4"/>
      <c r="U466" s="4"/>
      <c r="V466" s="4"/>
      <c r="W466" s="4"/>
    </row>
    <row r="467" spans="1:88" x14ac:dyDescent="0.2">
      <c r="A467" s="4">
        <v>50</v>
      </c>
      <c r="B467" s="4">
        <v>0</v>
      </c>
      <c r="C467" s="4">
        <v>0</v>
      </c>
      <c r="D467" s="4">
        <v>1</v>
      </c>
      <c r="E467" s="4">
        <v>215</v>
      </c>
      <c r="F467" s="4">
        <f>ROUND(Source!AT449,O467)</f>
        <v>0</v>
      </c>
      <c r="G467" s="4" t="s">
        <v>82</v>
      </c>
      <c r="H467" s="4" t="s">
        <v>83</v>
      </c>
      <c r="I467" s="4"/>
      <c r="J467" s="4"/>
      <c r="K467" s="4">
        <v>215</v>
      </c>
      <c r="L467" s="4">
        <v>17</v>
      </c>
      <c r="M467" s="4">
        <v>3</v>
      </c>
      <c r="N467" s="4" t="s">
        <v>3</v>
      </c>
      <c r="O467" s="4">
        <v>2</v>
      </c>
      <c r="P467" s="4"/>
      <c r="Q467" s="4"/>
      <c r="R467" s="4"/>
      <c r="S467" s="4"/>
      <c r="T467" s="4"/>
      <c r="U467" s="4"/>
      <c r="V467" s="4"/>
      <c r="W467" s="4"/>
    </row>
    <row r="468" spans="1:88" x14ac:dyDescent="0.2">
      <c r="A468" s="4">
        <v>50</v>
      </c>
      <c r="B468" s="4">
        <v>0</v>
      </c>
      <c r="C468" s="4">
        <v>0</v>
      </c>
      <c r="D468" s="4">
        <v>1</v>
      </c>
      <c r="E468" s="4">
        <v>217</v>
      </c>
      <c r="F468" s="4">
        <f>ROUND(Source!AU449,O468)</f>
        <v>128606.51</v>
      </c>
      <c r="G468" s="4" t="s">
        <v>84</v>
      </c>
      <c r="H468" s="4" t="s">
        <v>85</v>
      </c>
      <c r="I468" s="4"/>
      <c r="J468" s="4"/>
      <c r="K468" s="4">
        <v>217</v>
      </c>
      <c r="L468" s="4">
        <v>18</v>
      </c>
      <c r="M468" s="4">
        <v>3</v>
      </c>
      <c r="N468" s="4" t="s">
        <v>3</v>
      </c>
      <c r="O468" s="4">
        <v>2</v>
      </c>
      <c r="P468" s="4"/>
      <c r="Q468" s="4"/>
      <c r="R468" s="4"/>
      <c r="S468" s="4"/>
      <c r="T468" s="4"/>
      <c r="U468" s="4"/>
      <c r="V468" s="4"/>
      <c r="W468" s="4"/>
    </row>
    <row r="469" spans="1:88" x14ac:dyDescent="0.2">
      <c r="A469" s="4">
        <v>50</v>
      </c>
      <c r="B469" s="4">
        <v>0</v>
      </c>
      <c r="C469" s="4">
        <v>0</v>
      </c>
      <c r="D469" s="4">
        <v>1</v>
      </c>
      <c r="E469" s="4">
        <v>230</v>
      </c>
      <c r="F469" s="4">
        <f>ROUND(Source!BA449,O469)</f>
        <v>0</v>
      </c>
      <c r="G469" s="4" t="s">
        <v>86</v>
      </c>
      <c r="H469" s="4" t="s">
        <v>87</v>
      </c>
      <c r="I469" s="4"/>
      <c r="J469" s="4"/>
      <c r="K469" s="4">
        <v>230</v>
      </c>
      <c r="L469" s="4">
        <v>19</v>
      </c>
      <c r="M469" s="4">
        <v>3</v>
      </c>
      <c r="N469" s="4" t="s">
        <v>3</v>
      </c>
      <c r="O469" s="4">
        <v>2</v>
      </c>
      <c r="P469" s="4"/>
      <c r="Q469" s="4"/>
      <c r="R469" s="4"/>
      <c r="S469" s="4"/>
      <c r="T469" s="4"/>
      <c r="U469" s="4"/>
      <c r="V469" s="4"/>
      <c r="W469" s="4"/>
    </row>
    <row r="470" spans="1:88" x14ac:dyDescent="0.2">
      <c r="A470" s="4">
        <v>50</v>
      </c>
      <c r="B470" s="4">
        <v>0</v>
      </c>
      <c r="C470" s="4">
        <v>0</v>
      </c>
      <c r="D470" s="4">
        <v>1</v>
      </c>
      <c r="E470" s="4">
        <v>206</v>
      </c>
      <c r="F470" s="4">
        <f>ROUND(Source!T449,O470)</f>
        <v>0</v>
      </c>
      <c r="G470" s="4" t="s">
        <v>88</v>
      </c>
      <c r="H470" s="4" t="s">
        <v>89</v>
      </c>
      <c r="I470" s="4"/>
      <c r="J470" s="4"/>
      <c r="K470" s="4">
        <v>206</v>
      </c>
      <c r="L470" s="4">
        <v>20</v>
      </c>
      <c r="M470" s="4">
        <v>3</v>
      </c>
      <c r="N470" s="4" t="s">
        <v>3</v>
      </c>
      <c r="O470" s="4">
        <v>2</v>
      </c>
      <c r="P470" s="4"/>
      <c r="Q470" s="4"/>
      <c r="R470" s="4"/>
      <c r="S470" s="4"/>
      <c r="T470" s="4"/>
      <c r="U470" s="4"/>
      <c r="V470" s="4"/>
      <c r="W470" s="4"/>
    </row>
    <row r="471" spans="1:88" x14ac:dyDescent="0.2">
      <c r="A471" s="4">
        <v>50</v>
      </c>
      <c r="B471" s="4">
        <v>0</v>
      </c>
      <c r="C471" s="4">
        <v>0</v>
      </c>
      <c r="D471" s="4">
        <v>1</v>
      </c>
      <c r="E471" s="4">
        <v>207</v>
      </c>
      <c r="F471" s="4">
        <f>Source!U449</f>
        <v>154.012291</v>
      </c>
      <c r="G471" s="4" t="s">
        <v>90</v>
      </c>
      <c r="H471" s="4" t="s">
        <v>91</v>
      </c>
      <c r="I471" s="4"/>
      <c r="J471" s="4"/>
      <c r="K471" s="4">
        <v>207</v>
      </c>
      <c r="L471" s="4">
        <v>21</v>
      </c>
      <c r="M471" s="4">
        <v>3</v>
      </c>
      <c r="N471" s="4" t="s">
        <v>3</v>
      </c>
      <c r="O471" s="4">
        <v>-1</v>
      </c>
      <c r="P471" s="4"/>
      <c r="Q471" s="4"/>
      <c r="R471" s="4"/>
      <c r="S471" s="4"/>
      <c r="T471" s="4"/>
      <c r="U471" s="4"/>
      <c r="V471" s="4"/>
      <c r="W471" s="4"/>
    </row>
    <row r="472" spans="1:88" x14ac:dyDescent="0.2">
      <c r="A472" s="4">
        <v>50</v>
      </c>
      <c r="B472" s="4">
        <v>0</v>
      </c>
      <c r="C472" s="4">
        <v>0</v>
      </c>
      <c r="D472" s="4">
        <v>1</v>
      </c>
      <c r="E472" s="4">
        <v>208</v>
      </c>
      <c r="F472" s="4">
        <f>Source!V449</f>
        <v>0</v>
      </c>
      <c r="G472" s="4" t="s">
        <v>92</v>
      </c>
      <c r="H472" s="4" t="s">
        <v>93</v>
      </c>
      <c r="I472" s="4"/>
      <c r="J472" s="4"/>
      <c r="K472" s="4">
        <v>208</v>
      </c>
      <c r="L472" s="4">
        <v>22</v>
      </c>
      <c r="M472" s="4">
        <v>3</v>
      </c>
      <c r="N472" s="4" t="s">
        <v>3</v>
      </c>
      <c r="O472" s="4">
        <v>-1</v>
      </c>
      <c r="P472" s="4"/>
      <c r="Q472" s="4"/>
      <c r="R472" s="4"/>
      <c r="S472" s="4"/>
      <c r="T472" s="4"/>
      <c r="U472" s="4"/>
      <c r="V472" s="4"/>
      <c r="W472" s="4"/>
    </row>
    <row r="473" spans="1:88" x14ac:dyDescent="0.2">
      <c r="A473" s="4">
        <v>50</v>
      </c>
      <c r="B473" s="4">
        <v>0</v>
      </c>
      <c r="C473" s="4">
        <v>0</v>
      </c>
      <c r="D473" s="4">
        <v>1</v>
      </c>
      <c r="E473" s="4">
        <v>209</v>
      </c>
      <c r="F473" s="4">
        <f>ROUND(Source!W449,O473)</f>
        <v>0</v>
      </c>
      <c r="G473" s="4" t="s">
        <v>94</v>
      </c>
      <c r="H473" s="4" t="s">
        <v>95</v>
      </c>
      <c r="I473" s="4"/>
      <c r="J473" s="4"/>
      <c r="K473" s="4">
        <v>209</v>
      </c>
      <c r="L473" s="4">
        <v>23</v>
      </c>
      <c r="M473" s="4">
        <v>3</v>
      </c>
      <c r="N473" s="4" t="s">
        <v>3</v>
      </c>
      <c r="O473" s="4">
        <v>2</v>
      </c>
      <c r="P473" s="4"/>
      <c r="Q473" s="4"/>
      <c r="R473" s="4"/>
      <c r="S473" s="4"/>
      <c r="T473" s="4"/>
      <c r="U473" s="4"/>
      <c r="V473" s="4"/>
      <c r="W473" s="4"/>
    </row>
    <row r="474" spans="1:88" x14ac:dyDescent="0.2">
      <c r="A474" s="4">
        <v>50</v>
      </c>
      <c r="B474" s="4">
        <v>0</v>
      </c>
      <c r="C474" s="4">
        <v>0</v>
      </c>
      <c r="D474" s="4">
        <v>1</v>
      </c>
      <c r="E474" s="4">
        <v>233</v>
      </c>
      <c r="F474" s="4">
        <f>ROUND(Source!BD449,O474)</f>
        <v>0</v>
      </c>
      <c r="G474" s="4" t="s">
        <v>96</v>
      </c>
      <c r="H474" s="4" t="s">
        <v>97</v>
      </c>
      <c r="I474" s="4"/>
      <c r="J474" s="4"/>
      <c r="K474" s="4">
        <v>233</v>
      </c>
      <c r="L474" s="4">
        <v>24</v>
      </c>
      <c r="M474" s="4">
        <v>3</v>
      </c>
      <c r="N474" s="4" t="s">
        <v>3</v>
      </c>
      <c r="O474" s="4">
        <v>2</v>
      </c>
      <c r="P474" s="4"/>
      <c r="Q474" s="4"/>
      <c r="R474" s="4"/>
      <c r="S474" s="4"/>
      <c r="T474" s="4"/>
      <c r="U474" s="4"/>
      <c r="V474" s="4"/>
      <c r="W474" s="4"/>
    </row>
    <row r="475" spans="1:88" x14ac:dyDescent="0.2">
      <c r="A475" s="4">
        <v>50</v>
      </c>
      <c r="B475" s="4">
        <v>0</v>
      </c>
      <c r="C475" s="4">
        <v>0</v>
      </c>
      <c r="D475" s="4">
        <v>1</v>
      </c>
      <c r="E475" s="4">
        <v>210</v>
      </c>
      <c r="F475" s="4">
        <f>ROUND(Source!X449,O475)</f>
        <v>24088.74</v>
      </c>
      <c r="G475" s="4" t="s">
        <v>98</v>
      </c>
      <c r="H475" s="4" t="s">
        <v>99</v>
      </c>
      <c r="I475" s="4"/>
      <c r="J475" s="4"/>
      <c r="K475" s="4">
        <v>210</v>
      </c>
      <c r="L475" s="4">
        <v>25</v>
      </c>
      <c r="M475" s="4">
        <v>3</v>
      </c>
      <c r="N475" s="4" t="s">
        <v>3</v>
      </c>
      <c r="O475" s="4">
        <v>2</v>
      </c>
      <c r="P475" s="4"/>
      <c r="Q475" s="4"/>
      <c r="R475" s="4"/>
      <c r="S475" s="4"/>
      <c r="T475" s="4"/>
      <c r="U475" s="4"/>
      <c r="V475" s="4"/>
      <c r="W475" s="4"/>
    </row>
    <row r="476" spans="1:88" x14ac:dyDescent="0.2">
      <c r="A476" s="4">
        <v>50</v>
      </c>
      <c r="B476" s="4">
        <v>0</v>
      </c>
      <c r="C476" s="4">
        <v>0</v>
      </c>
      <c r="D476" s="4">
        <v>1</v>
      </c>
      <c r="E476" s="4">
        <v>211</v>
      </c>
      <c r="F476" s="4">
        <f>ROUND(Source!Y449,O476)</f>
        <v>3441.24</v>
      </c>
      <c r="G476" s="4" t="s">
        <v>100</v>
      </c>
      <c r="H476" s="4" t="s">
        <v>101</v>
      </c>
      <c r="I476" s="4"/>
      <c r="J476" s="4"/>
      <c r="K476" s="4">
        <v>211</v>
      </c>
      <c r="L476" s="4">
        <v>26</v>
      </c>
      <c r="M476" s="4">
        <v>3</v>
      </c>
      <c r="N476" s="4" t="s">
        <v>3</v>
      </c>
      <c r="O476" s="4">
        <v>2</v>
      </c>
      <c r="P476" s="4"/>
      <c r="Q476" s="4"/>
      <c r="R476" s="4"/>
      <c r="S476" s="4"/>
      <c r="T476" s="4"/>
      <c r="U476" s="4"/>
      <c r="V476" s="4"/>
      <c r="W476" s="4"/>
    </row>
    <row r="477" spans="1:88" x14ac:dyDescent="0.2">
      <c r="A477" s="4">
        <v>50</v>
      </c>
      <c r="B477" s="4">
        <v>0</v>
      </c>
      <c r="C477" s="4">
        <v>0</v>
      </c>
      <c r="D477" s="4">
        <v>1</v>
      </c>
      <c r="E477" s="4">
        <v>224</v>
      </c>
      <c r="F477" s="4">
        <f>ROUND(Source!AR449,O477)</f>
        <v>128606.51</v>
      </c>
      <c r="G477" s="4" t="s">
        <v>102</v>
      </c>
      <c r="H477" s="4" t="s">
        <v>103</v>
      </c>
      <c r="I477" s="4"/>
      <c r="J477" s="4"/>
      <c r="K477" s="4">
        <v>224</v>
      </c>
      <c r="L477" s="4">
        <v>27</v>
      </c>
      <c r="M477" s="4">
        <v>3</v>
      </c>
      <c r="N477" s="4" t="s">
        <v>3</v>
      </c>
      <c r="O477" s="4">
        <v>2</v>
      </c>
      <c r="P477" s="4"/>
      <c r="Q477" s="4"/>
      <c r="R477" s="4"/>
      <c r="S477" s="4"/>
      <c r="T477" s="4"/>
      <c r="U477" s="4"/>
      <c r="V477" s="4"/>
      <c r="W477" s="4"/>
    </row>
    <row r="479" spans="1:88" x14ac:dyDescent="0.2">
      <c r="A479" s="1">
        <v>4</v>
      </c>
      <c r="B479" s="1">
        <v>1</v>
      </c>
      <c r="C479" s="1"/>
      <c r="D479" s="1">
        <f>ROW(A568)</f>
        <v>568</v>
      </c>
      <c r="E479" s="1"/>
      <c r="F479" s="1" t="s">
        <v>12</v>
      </c>
      <c r="G479" s="1" t="s">
        <v>284</v>
      </c>
      <c r="H479" s="1" t="s">
        <v>3</v>
      </c>
      <c r="I479" s="1">
        <v>0</v>
      </c>
      <c r="J479" s="1"/>
      <c r="K479" s="1">
        <v>0</v>
      </c>
      <c r="L479" s="1"/>
      <c r="M479" s="1"/>
      <c r="N479" s="1"/>
      <c r="O479" s="1"/>
      <c r="P479" s="1"/>
      <c r="Q479" s="1"/>
      <c r="R479" s="1"/>
      <c r="S479" s="1"/>
      <c r="T479" s="1"/>
      <c r="U479" s="1" t="s">
        <v>3</v>
      </c>
      <c r="V479" s="1">
        <v>0</v>
      </c>
      <c r="W479" s="1"/>
      <c r="X479" s="1"/>
      <c r="Y479" s="1"/>
      <c r="Z479" s="1"/>
      <c r="AA479" s="1"/>
      <c r="AB479" s="1" t="s">
        <v>3</v>
      </c>
      <c r="AC479" s="1" t="s">
        <v>3</v>
      </c>
      <c r="AD479" s="1" t="s">
        <v>3</v>
      </c>
      <c r="AE479" s="1" t="s">
        <v>3</v>
      </c>
      <c r="AF479" s="1" t="s">
        <v>3</v>
      </c>
      <c r="AG479" s="1" t="s">
        <v>3</v>
      </c>
      <c r="AH479" s="1"/>
      <c r="AI479" s="1"/>
      <c r="AJ479" s="1"/>
      <c r="AK479" s="1"/>
      <c r="AL479" s="1"/>
      <c r="AM479" s="1"/>
      <c r="AN479" s="1"/>
      <c r="AO479" s="1"/>
      <c r="AP479" s="1" t="s">
        <v>3</v>
      </c>
      <c r="AQ479" s="1" t="s">
        <v>3</v>
      </c>
      <c r="AR479" s="1" t="s">
        <v>3</v>
      </c>
      <c r="AS479" s="1"/>
      <c r="AT479" s="1"/>
      <c r="AU479" s="1"/>
      <c r="AV479" s="1"/>
      <c r="AW479" s="1"/>
      <c r="AX479" s="1"/>
      <c r="AY479" s="1"/>
      <c r="AZ479" s="1" t="s">
        <v>3</v>
      </c>
      <c r="BA479" s="1"/>
      <c r="BB479" s="1" t="s">
        <v>3</v>
      </c>
      <c r="BC479" s="1" t="s">
        <v>3</v>
      </c>
      <c r="BD479" s="1" t="s">
        <v>3</v>
      </c>
      <c r="BE479" s="1" t="s">
        <v>3</v>
      </c>
      <c r="BF479" s="1" t="s">
        <v>3</v>
      </c>
      <c r="BG479" s="1" t="s">
        <v>3</v>
      </c>
      <c r="BH479" s="1" t="s">
        <v>3</v>
      </c>
      <c r="BI479" s="1" t="s">
        <v>3</v>
      </c>
      <c r="BJ479" s="1" t="s">
        <v>3</v>
      </c>
      <c r="BK479" s="1" t="s">
        <v>3</v>
      </c>
      <c r="BL479" s="1" t="s">
        <v>3</v>
      </c>
      <c r="BM479" s="1" t="s">
        <v>3</v>
      </c>
      <c r="BN479" s="1" t="s">
        <v>3</v>
      </c>
      <c r="BO479" s="1" t="s">
        <v>3</v>
      </c>
      <c r="BP479" s="1" t="s">
        <v>3</v>
      </c>
      <c r="BQ479" s="1"/>
      <c r="BR479" s="1"/>
      <c r="BS479" s="1"/>
      <c r="BT479" s="1"/>
      <c r="BU479" s="1"/>
      <c r="BV479" s="1"/>
      <c r="BW479" s="1"/>
      <c r="BX479" s="1">
        <v>0</v>
      </c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>
        <v>0</v>
      </c>
    </row>
    <row r="481" spans="1:245" x14ac:dyDescent="0.2">
      <c r="A481" s="2">
        <v>52</v>
      </c>
      <c r="B481" s="2">
        <f t="shared" ref="B481:G481" si="241">B568</f>
        <v>1</v>
      </c>
      <c r="C481" s="2">
        <f t="shared" si="241"/>
        <v>4</v>
      </c>
      <c r="D481" s="2">
        <f t="shared" si="241"/>
        <v>479</v>
      </c>
      <c r="E481" s="2">
        <f t="shared" si="241"/>
        <v>0</v>
      </c>
      <c r="F481" s="2" t="str">
        <f t="shared" si="241"/>
        <v>Новый раздел</v>
      </c>
      <c r="G481" s="2" t="str">
        <f t="shared" si="241"/>
        <v>Забор</v>
      </c>
      <c r="H481" s="2"/>
      <c r="I481" s="2"/>
      <c r="J481" s="2"/>
      <c r="K481" s="2"/>
      <c r="L481" s="2"/>
      <c r="M481" s="2"/>
      <c r="N481" s="2"/>
      <c r="O481" s="2">
        <f t="shared" ref="O481:AT481" si="242">O568</f>
        <v>1540493.99</v>
      </c>
      <c r="P481" s="2">
        <f t="shared" si="242"/>
        <v>721561.08</v>
      </c>
      <c r="Q481" s="2">
        <f t="shared" si="242"/>
        <v>231663.99</v>
      </c>
      <c r="R481" s="2">
        <f t="shared" si="242"/>
        <v>145768.43</v>
      </c>
      <c r="S481" s="2">
        <f t="shared" si="242"/>
        <v>587268.92000000004</v>
      </c>
      <c r="T481" s="2">
        <f t="shared" si="242"/>
        <v>0</v>
      </c>
      <c r="U481" s="2">
        <f t="shared" si="242"/>
        <v>2360.7424000000005</v>
      </c>
      <c r="V481" s="2">
        <f t="shared" si="242"/>
        <v>0</v>
      </c>
      <c r="W481" s="2">
        <f t="shared" si="242"/>
        <v>0</v>
      </c>
      <c r="X481" s="2">
        <f t="shared" si="242"/>
        <v>411088.24</v>
      </c>
      <c r="Y481" s="2">
        <f t="shared" si="242"/>
        <v>58726.9</v>
      </c>
      <c r="Z481" s="2">
        <f t="shared" si="242"/>
        <v>0</v>
      </c>
      <c r="AA481" s="2">
        <f t="shared" si="242"/>
        <v>0</v>
      </c>
      <c r="AB481" s="2">
        <f t="shared" si="242"/>
        <v>0</v>
      </c>
      <c r="AC481" s="2">
        <f t="shared" si="242"/>
        <v>0</v>
      </c>
      <c r="AD481" s="2">
        <f t="shared" si="242"/>
        <v>0</v>
      </c>
      <c r="AE481" s="2">
        <f t="shared" si="242"/>
        <v>0</v>
      </c>
      <c r="AF481" s="2">
        <f t="shared" si="242"/>
        <v>0</v>
      </c>
      <c r="AG481" s="2">
        <f t="shared" si="242"/>
        <v>0</v>
      </c>
      <c r="AH481" s="2">
        <f t="shared" si="242"/>
        <v>0</v>
      </c>
      <c r="AI481" s="2">
        <f t="shared" si="242"/>
        <v>0</v>
      </c>
      <c r="AJ481" s="2">
        <f t="shared" si="242"/>
        <v>0</v>
      </c>
      <c r="AK481" s="2">
        <f t="shared" si="242"/>
        <v>0</v>
      </c>
      <c r="AL481" s="2">
        <f t="shared" si="242"/>
        <v>0</v>
      </c>
      <c r="AM481" s="2">
        <f t="shared" si="242"/>
        <v>0</v>
      </c>
      <c r="AN481" s="2">
        <f t="shared" si="242"/>
        <v>0</v>
      </c>
      <c r="AO481" s="2">
        <f t="shared" si="242"/>
        <v>0</v>
      </c>
      <c r="AP481" s="2">
        <f t="shared" si="242"/>
        <v>0</v>
      </c>
      <c r="AQ481" s="2">
        <f t="shared" si="242"/>
        <v>0</v>
      </c>
      <c r="AR481" s="2">
        <f t="shared" si="242"/>
        <v>2167739.0299999998</v>
      </c>
      <c r="AS481" s="2">
        <f t="shared" si="242"/>
        <v>0</v>
      </c>
      <c r="AT481" s="2">
        <f t="shared" si="242"/>
        <v>0</v>
      </c>
      <c r="AU481" s="2">
        <f t="shared" ref="AU481:BZ481" si="243">AU568</f>
        <v>2167739.0299999998</v>
      </c>
      <c r="AV481" s="2">
        <f t="shared" si="243"/>
        <v>721561.08</v>
      </c>
      <c r="AW481" s="2">
        <f t="shared" si="243"/>
        <v>721561.08</v>
      </c>
      <c r="AX481" s="2">
        <f t="shared" si="243"/>
        <v>0</v>
      </c>
      <c r="AY481" s="2">
        <f t="shared" si="243"/>
        <v>721561.08</v>
      </c>
      <c r="AZ481" s="2">
        <f t="shared" si="243"/>
        <v>0</v>
      </c>
      <c r="BA481" s="2">
        <f t="shared" si="243"/>
        <v>0</v>
      </c>
      <c r="BB481" s="2">
        <f t="shared" si="243"/>
        <v>0</v>
      </c>
      <c r="BC481" s="2">
        <f t="shared" si="243"/>
        <v>0</v>
      </c>
      <c r="BD481" s="2">
        <f t="shared" si="243"/>
        <v>0</v>
      </c>
      <c r="BE481" s="2">
        <f t="shared" si="243"/>
        <v>0</v>
      </c>
      <c r="BF481" s="2">
        <f t="shared" si="243"/>
        <v>0</v>
      </c>
      <c r="BG481" s="2">
        <f t="shared" si="243"/>
        <v>0</v>
      </c>
      <c r="BH481" s="2">
        <f t="shared" si="243"/>
        <v>0</v>
      </c>
      <c r="BI481" s="2">
        <f t="shared" si="243"/>
        <v>0</v>
      </c>
      <c r="BJ481" s="2">
        <f t="shared" si="243"/>
        <v>0</v>
      </c>
      <c r="BK481" s="2">
        <f t="shared" si="243"/>
        <v>0</v>
      </c>
      <c r="BL481" s="2">
        <f t="shared" si="243"/>
        <v>0</v>
      </c>
      <c r="BM481" s="2">
        <f t="shared" si="243"/>
        <v>0</v>
      </c>
      <c r="BN481" s="2">
        <f t="shared" si="243"/>
        <v>0</v>
      </c>
      <c r="BO481" s="2">
        <f t="shared" si="243"/>
        <v>0</v>
      </c>
      <c r="BP481" s="2">
        <f t="shared" si="243"/>
        <v>0</v>
      </c>
      <c r="BQ481" s="2">
        <f t="shared" si="243"/>
        <v>0</v>
      </c>
      <c r="BR481" s="2">
        <f t="shared" si="243"/>
        <v>0</v>
      </c>
      <c r="BS481" s="2">
        <f t="shared" si="243"/>
        <v>0</v>
      </c>
      <c r="BT481" s="2">
        <f t="shared" si="243"/>
        <v>0</v>
      </c>
      <c r="BU481" s="2">
        <f t="shared" si="243"/>
        <v>0</v>
      </c>
      <c r="BV481" s="2">
        <f t="shared" si="243"/>
        <v>0</v>
      </c>
      <c r="BW481" s="2">
        <f t="shared" si="243"/>
        <v>0</v>
      </c>
      <c r="BX481" s="2">
        <f t="shared" si="243"/>
        <v>0</v>
      </c>
      <c r="BY481" s="2">
        <f t="shared" si="243"/>
        <v>0</v>
      </c>
      <c r="BZ481" s="2">
        <f t="shared" si="243"/>
        <v>0</v>
      </c>
      <c r="CA481" s="2">
        <f t="shared" ref="CA481:DF481" si="244">CA568</f>
        <v>0</v>
      </c>
      <c r="CB481" s="2">
        <f t="shared" si="244"/>
        <v>0</v>
      </c>
      <c r="CC481" s="2">
        <f t="shared" si="244"/>
        <v>0</v>
      </c>
      <c r="CD481" s="2">
        <f t="shared" si="244"/>
        <v>0</v>
      </c>
      <c r="CE481" s="2">
        <f t="shared" si="244"/>
        <v>0</v>
      </c>
      <c r="CF481" s="2">
        <f t="shared" si="244"/>
        <v>0</v>
      </c>
      <c r="CG481" s="2">
        <f t="shared" si="244"/>
        <v>0</v>
      </c>
      <c r="CH481" s="2">
        <f t="shared" si="244"/>
        <v>0</v>
      </c>
      <c r="CI481" s="2">
        <f t="shared" si="244"/>
        <v>0</v>
      </c>
      <c r="CJ481" s="2">
        <f t="shared" si="244"/>
        <v>0</v>
      </c>
      <c r="CK481" s="2">
        <f t="shared" si="244"/>
        <v>0</v>
      </c>
      <c r="CL481" s="2">
        <f t="shared" si="244"/>
        <v>0</v>
      </c>
      <c r="CM481" s="2">
        <f t="shared" si="244"/>
        <v>0</v>
      </c>
      <c r="CN481" s="2">
        <f t="shared" si="244"/>
        <v>0</v>
      </c>
      <c r="CO481" s="2">
        <f t="shared" si="244"/>
        <v>0</v>
      </c>
      <c r="CP481" s="2">
        <f t="shared" si="244"/>
        <v>0</v>
      </c>
      <c r="CQ481" s="2">
        <f t="shared" si="244"/>
        <v>0</v>
      </c>
      <c r="CR481" s="2">
        <f t="shared" si="244"/>
        <v>0</v>
      </c>
      <c r="CS481" s="2">
        <f t="shared" si="244"/>
        <v>0</v>
      </c>
      <c r="CT481" s="2">
        <f t="shared" si="244"/>
        <v>0</v>
      </c>
      <c r="CU481" s="2">
        <f t="shared" si="244"/>
        <v>0</v>
      </c>
      <c r="CV481" s="2">
        <f t="shared" si="244"/>
        <v>0</v>
      </c>
      <c r="CW481" s="2">
        <f t="shared" si="244"/>
        <v>0</v>
      </c>
      <c r="CX481" s="2">
        <f t="shared" si="244"/>
        <v>0</v>
      </c>
      <c r="CY481" s="2">
        <f t="shared" si="244"/>
        <v>0</v>
      </c>
      <c r="CZ481" s="2">
        <f t="shared" si="244"/>
        <v>0</v>
      </c>
      <c r="DA481" s="2">
        <f t="shared" si="244"/>
        <v>0</v>
      </c>
      <c r="DB481" s="2">
        <f t="shared" si="244"/>
        <v>0</v>
      </c>
      <c r="DC481" s="2">
        <f t="shared" si="244"/>
        <v>0</v>
      </c>
      <c r="DD481" s="2">
        <f t="shared" si="244"/>
        <v>0</v>
      </c>
      <c r="DE481" s="2">
        <f t="shared" si="244"/>
        <v>0</v>
      </c>
      <c r="DF481" s="2">
        <f t="shared" si="244"/>
        <v>0</v>
      </c>
      <c r="DG481" s="3">
        <f t="shared" ref="DG481:EL481" si="245">DG568</f>
        <v>0</v>
      </c>
      <c r="DH481" s="3">
        <f t="shared" si="245"/>
        <v>0</v>
      </c>
      <c r="DI481" s="3">
        <f t="shared" si="245"/>
        <v>0</v>
      </c>
      <c r="DJ481" s="3">
        <f t="shared" si="245"/>
        <v>0</v>
      </c>
      <c r="DK481" s="3">
        <f t="shared" si="245"/>
        <v>0</v>
      </c>
      <c r="DL481" s="3">
        <f t="shared" si="245"/>
        <v>0</v>
      </c>
      <c r="DM481" s="3">
        <f t="shared" si="245"/>
        <v>0</v>
      </c>
      <c r="DN481" s="3">
        <f t="shared" si="245"/>
        <v>0</v>
      </c>
      <c r="DO481" s="3">
        <f t="shared" si="245"/>
        <v>0</v>
      </c>
      <c r="DP481" s="3">
        <f t="shared" si="245"/>
        <v>0</v>
      </c>
      <c r="DQ481" s="3">
        <f t="shared" si="245"/>
        <v>0</v>
      </c>
      <c r="DR481" s="3">
        <f t="shared" si="245"/>
        <v>0</v>
      </c>
      <c r="DS481" s="3">
        <f t="shared" si="245"/>
        <v>0</v>
      </c>
      <c r="DT481" s="3">
        <f t="shared" si="245"/>
        <v>0</v>
      </c>
      <c r="DU481" s="3">
        <f t="shared" si="245"/>
        <v>0</v>
      </c>
      <c r="DV481" s="3">
        <f t="shared" si="245"/>
        <v>0</v>
      </c>
      <c r="DW481" s="3">
        <f t="shared" si="245"/>
        <v>0</v>
      </c>
      <c r="DX481" s="3">
        <f t="shared" si="245"/>
        <v>0</v>
      </c>
      <c r="DY481" s="3">
        <f t="shared" si="245"/>
        <v>0</v>
      </c>
      <c r="DZ481" s="3">
        <f t="shared" si="245"/>
        <v>0</v>
      </c>
      <c r="EA481" s="3">
        <f t="shared" si="245"/>
        <v>0</v>
      </c>
      <c r="EB481" s="3">
        <f t="shared" si="245"/>
        <v>0</v>
      </c>
      <c r="EC481" s="3">
        <f t="shared" si="245"/>
        <v>0</v>
      </c>
      <c r="ED481" s="3">
        <f t="shared" si="245"/>
        <v>0</v>
      </c>
      <c r="EE481" s="3">
        <f t="shared" si="245"/>
        <v>0</v>
      </c>
      <c r="EF481" s="3">
        <f t="shared" si="245"/>
        <v>0</v>
      </c>
      <c r="EG481" s="3">
        <f t="shared" si="245"/>
        <v>0</v>
      </c>
      <c r="EH481" s="3">
        <f t="shared" si="245"/>
        <v>0</v>
      </c>
      <c r="EI481" s="3">
        <f t="shared" si="245"/>
        <v>0</v>
      </c>
      <c r="EJ481" s="3">
        <f t="shared" si="245"/>
        <v>0</v>
      </c>
      <c r="EK481" s="3">
        <f t="shared" si="245"/>
        <v>0</v>
      </c>
      <c r="EL481" s="3">
        <f t="shared" si="245"/>
        <v>0</v>
      </c>
      <c r="EM481" s="3">
        <f t="shared" ref="EM481:FR481" si="246">EM568</f>
        <v>0</v>
      </c>
      <c r="EN481" s="3">
        <f t="shared" si="246"/>
        <v>0</v>
      </c>
      <c r="EO481" s="3">
        <f t="shared" si="246"/>
        <v>0</v>
      </c>
      <c r="EP481" s="3">
        <f t="shared" si="246"/>
        <v>0</v>
      </c>
      <c r="EQ481" s="3">
        <f t="shared" si="246"/>
        <v>0</v>
      </c>
      <c r="ER481" s="3">
        <f t="shared" si="246"/>
        <v>0</v>
      </c>
      <c r="ES481" s="3">
        <f t="shared" si="246"/>
        <v>0</v>
      </c>
      <c r="ET481" s="3">
        <f t="shared" si="246"/>
        <v>0</v>
      </c>
      <c r="EU481" s="3">
        <f t="shared" si="246"/>
        <v>0</v>
      </c>
      <c r="EV481" s="3">
        <f t="shared" si="246"/>
        <v>0</v>
      </c>
      <c r="EW481" s="3">
        <f t="shared" si="246"/>
        <v>0</v>
      </c>
      <c r="EX481" s="3">
        <f t="shared" si="246"/>
        <v>0</v>
      </c>
      <c r="EY481" s="3">
        <f t="shared" si="246"/>
        <v>0</v>
      </c>
      <c r="EZ481" s="3">
        <f t="shared" si="246"/>
        <v>0</v>
      </c>
      <c r="FA481" s="3">
        <f t="shared" si="246"/>
        <v>0</v>
      </c>
      <c r="FB481" s="3">
        <f t="shared" si="246"/>
        <v>0</v>
      </c>
      <c r="FC481" s="3">
        <f t="shared" si="246"/>
        <v>0</v>
      </c>
      <c r="FD481" s="3">
        <f t="shared" si="246"/>
        <v>0</v>
      </c>
      <c r="FE481" s="3">
        <f t="shared" si="246"/>
        <v>0</v>
      </c>
      <c r="FF481" s="3">
        <f t="shared" si="246"/>
        <v>0</v>
      </c>
      <c r="FG481" s="3">
        <f t="shared" si="246"/>
        <v>0</v>
      </c>
      <c r="FH481" s="3">
        <f t="shared" si="246"/>
        <v>0</v>
      </c>
      <c r="FI481" s="3">
        <f t="shared" si="246"/>
        <v>0</v>
      </c>
      <c r="FJ481" s="3">
        <f t="shared" si="246"/>
        <v>0</v>
      </c>
      <c r="FK481" s="3">
        <f t="shared" si="246"/>
        <v>0</v>
      </c>
      <c r="FL481" s="3">
        <f t="shared" si="246"/>
        <v>0</v>
      </c>
      <c r="FM481" s="3">
        <f t="shared" si="246"/>
        <v>0</v>
      </c>
      <c r="FN481" s="3">
        <f t="shared" si="246"/>
        <v>0</v>
      </c>
      <c r="FO481" s="3">
        <f t="shared" si="246"/>
        <v>0</v>
      </c>
      <c r="FP481" s="3">
        <f t="shared" si="246"/>
        <v>0</v>
      </c>
      <c r="FQ481" s="3">
        <f t="shared" si="246"/>
        <v>0</v>
      </c>
      <c r="FR481" s="3">
        <f t="shared" si="246"/>
        <v>0</v>
      </c>
      <c r="FS481" s="3">
        <f t="shared" ref="FS481:GX481" si="247">FS568</f>
        <v>0</v>
      </c>
      <c r="FT481" s="3">
        <f t="shared" si="247"/>
        <v>0</v>
      </c>
      <c r="FU481" s="3">
        <f t="shared" si="247"/>
        <v>0</v>
      </c>
      <c r="FV481" s="3">
        <f t="shared" si="247"/>
        <v>0</v>
      </c>
      <c r="FW481" s="3">
        <f t="shared" si="247"/>
        <v>0</v>
      </c>
      <c r="FX481" s="3">
        <f t="shared" si="247"/>
        <v>0</v>
      </c>
      <c r="FY481" s="3">
        <f t="shared" si="247"/>
        <v>0</v>
      </c>
      <c r="FZ481" s="3">
        <f t="shared" si="247"/>
        <v>0</v>
      </c>
      <c r="GA481" s="3">
        <f t="shared" si="247"/>
        <v>0</v>
      </c>
      <c r="GB481" s="3">
        <f t="shared" si="247"/>
        <v>0</v>
      </c>
      <c r="GC481" s="3">
        <f t="shared" si="247"/>
        <v>0</v>
      </c>
      <c r="GD481" s="3">
        <f t="shared" si="247"/>
        <v>0</v>
      </c>
      <c r="GE481" s="3">
        <f t="shared" si="247"/>
        <v>0</v>
      </c>
      <c r="GF481" s="3">
        <f t="shared" si="247"/>
        <v>0</v>
      </c>
      <c r="GG481" s="3">
        <f t="shared" si="247"/>
        <v>0</v>
      </c>
      <c r="GH481" s="3">
        <f t="shared" si="247"/>
        <v>0</v>
      </c>
      <c r="GI481" s="3">
        <f t="shared" si="247"/>
        <v>0</v>
      </c>
      <c r="GJ481" s="3">
        <f t="shared" si="247"/>
        <v>0</v>
      </c>
      <c r="GK481" s="3">
        <f t="shared" si="247"/>
        <v>0</v>
      </c>
      <c r="GL481" s="3">
        <f t="shared" si="247"/>
        <v>0</v>
      </c>
      <c r="GM481" s="3">
        <f t="shared" si="247"/>
        <v>0</v>
      </c>
      <c r="GN481" s="3">
        <f t="shared" si="247"/>
        <v>0</v>
      </c>
      <c r="GO481" s="3">
        <f t="shared" si="247"/>
        <v>0</v>
      </c>
      <c r="GP481" s="3">
        <f t="shared" si="247"/>
        <v>0</v>
      </c>
      <c r="GQ481" s="3">
        <f t="shared" si="247"/>
        <v>0</v>
      </c>
      <c r="GR481" s="3">
        <f t="shared" si="247"/>
        <v>0</v>
      </c>
      <c r="GS481" s="3">
        <f t="shared" si="247"/>
        <v>0</v>
      </c>
      <c r="GT481" s="3">
        <f t="shared" si="247"/>
        <v>0</v>
      </c>
      <c r="GU481" s="3">
        <f t="shared" si="247"/>
        <v>0</v>
      </c>
      <c r="GV481" s="3">
        <f t="shared" si="247"/>
        <v>0</v>
      </c>
      <c r="GW481" s="3">
        <f t="shared" si="247"/>
        <v>0</v>
      </c>
      <c r="GX481" s="3">
        <f t="shared" si="247"/>
        <v>0</v>
      </c>
    </row>
    <row r="483" spans="1:245" x14ac:dyDescent="0.2">
      <c r="A483" s="1">
        <v>5</v>
      </c>
      <c r="B483" s="1">
        <v>1</v>
      </c>
      <c r="C483" s="1"/>
      <c r="D483" s="1">
        <f>ROW(A489)</f>
        <v>489</v>
      </c>
      <c r="E483" s="1"/>
      <c r="F483" s="1" t="s">
        <v>14</v>
      </c>
      <c r="G483" s="1" t="s">
        <v>15</v>
      </c>
      <c r="H483" s="1" t="s">
        <v>3</v>
      </c>
      <c r="I483" s="1">
        <v>0</v>
      </c>
      <c r="J483" s="1"/>
      <c r="K483" s="1">
        <v>0</v>
      </c>
      <c r="L483" s="1"/>
      <c r="M483" s="1"/>
      <c r="N483" s="1"/>
      <c r="O483" s="1"/>
      <c r="P483" s="1"/>
      <c r="Q483" s="1"/>
      <c r="R483" s="1"/>
      <c r="S483" s="1"/>
      <c r="T483" s="1"/>
      <c r="U483" s="1" t="s">
        <v>3</v>
      </c>
      <c r="V483" s="1">
        <v>0</v>
      </c>
      <c r="W483" s="1"/>
      <c r="X483" s="1"/>
      <c r="Y483" s="1"/>
      <c r="Z483" s="1"/>
      <c r="AA483" s="1"/>
      <c r="AB483" s="1" t="s">
        <v>3</v>
      </c>
      <c r="AC483" s="1" t="s">
        <v>3</v>
      </c>
      <c r="AD483" s="1" t="s">
        <v>3</v>
      </c>
      <c r="AE483" s="1" t="s">
        <v>3</v>
      </c>
      <c r="AF483" s="1" t="s">
        <v>3</v>
      </c>
      <c r="AG483" s="1" t="s">
        <v>3</v>
      </c>
      <c r="AH483" s="1"/>
      <c r="AI483" s="1"/>
      <c r="AJ483" s="1"/>
      <c r="AK483" s="1"/>
      <c r="AL483" s="1"/>
      <c r="AM483" s="1"/>
      <c r="AN483" s="1"/>
      <c r="AO483" s="1"/>
      <c r="AP483" s="1" t="s">
        <v>3</v>
      </c>
      <c r="AQ483" s="1" t="s">
        <v>3</v>
      </c>
      <c r="AR483" s="1" t="s">
        <v>3</v>
      </c>
      <c r="AS483" s="1"/>
      <c r="AT483" s="1"/>
      <c r="AU483" s="1"/>
      <c r="AV483" s="1"/>
      <c r="AW483" s="1"/>
      <c r="AX483" s="1"/>
      <c r="AY483" s="1"/>
      <c r="AZ483" s="1" t="s">
        <v>3</v>
      </c>
      <c r="BA483" s="1"/>
      <c r="BB483" s="1" t="s">
        <v>3</v>
      </c>
      <c r="BC483" s="1" t="s">
        <v>3</v>
      </c>
      <c r="BD483" s="1" t="s">
        <v>3</v>
      </c>
      <c r="BE483" s="1" t="s">
        <v>3</v>
      </c>
      <c r="BF483" s="1" t="s">
        <v>3</v>
      </c>
      <c r="BG483" s="1" t="s">
        <v>3</v>
      </c>
      <c r="BH483" s="1" t="s">
        <v>3</v>
      </c>
      <c r="BI483" s="1" t="s">
        <v>3</v>
      </c>
      <c r="BJ483" s="1" t="s">
        <v>3</v>
      </c>
      <c r="BK483" s="1" t="s">
        <v>3</v>
      </c>
      <c r="BL483" s="1" t="s">
        <v>3</v>
      </c>
      <c r="BM483" s="1" t="s">
        <v>3</v>
      </c>
      <c r="BN483" s="1" t="s">
        <v>3</v>
      </c>
      <c r="BO483" s="1" t="s">
        <v>3</v>
      </c>
      <c r="BP483" s="1" t="s">
        <v>3</v>
      </c>
      <c r="BQ483" s="1"/>
      <c r="BR483" s="1"/>
      <c r="BS483" s="1"/>
      <c r="BT483" s="1"/>
      <c r="BU483" s="1"/>
      <c r="BV483" s="1"/>
      <c r="BW483" s="1"/>
      <c r="BX483" s="1">
        <v>0</v>
      </c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>
        <v>0</v>
      </c>
    </row>
    <row r="485" spans="1:245" x14ac:dyDescent="0.2">
      <c r="A485" s="2">
        <v>52</v>
      </c>
      <c r="B485" s="2">
        <f t="shared" ref="B485:G485" si="248">B489</f>
        <v>1</v>
      </c>
      <c r="C485" s="2">
        <f t="shared" si="248"/>
        <v>5</v>
      </c>
      <c r="D485" s="2">
        <f t="shared" si="248"/>
        <v>483</v>
      </c>
      <c r="E485" s="2">
        <f t="shared" si="248"/>
        <v>0</v>
      </c>
      <c r="F485" s="2" t="str">
        <f t="shared" si="248"/>
        <v>Новый подраздел</v>
      </c>
      <c r="G485" s="2" t="str">
        <f t="shared" si="248"/>
        <v>Демонтажные работы</v>
      </c>
      <c r="H485" s="2"/>
      <c r="I485" s="2"/>
      <c r="J485" s="2"/>
      <c r="K485" s="2"/>
      <c r="L485" s="2"/>
      <c r="M485" s="2"/>
      <c r="N485" s="2"/>
      <c r="O485" s="2">
        <f t="shared" ref="O485:AT485" si="249">O489</f>
        <v>25064.49</v>
      </c>
      <c r="P485" s="2">
        <f t="shared" si="249"/>
        <v>0</v>
      </c>
      <c r="Q485" s="2">
        <f t="shared" si="249"/>
        <v>639.65</v>
      </c>
      <c r="R485" s="2">
        <f t="shared" si="249"/>
        <v>27.86</v>
      </c>
      <c r="S485" s="2">
        <f t="shared" si="249"/>
        <v>24424.84</v>
      </c>
      <c r="T485" s="2">
        <f t="shared" si="249"/>
        <v>0</v>
      </c>
      <c r="U485" s="2">
        <f t="shared" si="249"/>
        <v>94.916399999999996</v>
      </c>
      <c r="V485" s="2">
        <f t="shared" si="249"/>
        <v>0</v>
      </c>
      <c r="W485" s="2">
        <f t="shared" si="249"/>
        <v>0</v>
      </c>
      <c r="X485" s="2">
        <f t="shared" si="249"/>
        <v>17097.39</v>
      </c>
      <c r="Y485" s="2">
        <f t="shared" si="249"/>
        <v>2442.48</v>
      </c>
      <c r="Z485" s="2">
        <f t="shared" si="249"/>
        <v>0</v>
      </c>
      <c r="AA485" s="2">
        <f t="shared" si="249"/>
        <v>0</v>
      </c>
      <c r="AB485" s="2">
        <f t="shared" si="249"/>
        <v>25064.49</v>
      </c>
      <c r="AC485" s="2">
        <f t="shared" si="249"/>
        <v>0</v>
      </c>
      <c r="AD485" s="2">
        <f t="shared" si="249"/>
        <v>639.65</v>
      </c>
      <c r="AE485" s="2">
        <f t="shared" si="249"/>
        <v>27.86</v>
      </c>
      <c r="AF485" s="2">
        <f t="shared" si="249"/>
        <v>24424.84</v>
      </c>
      <c r="AG485" s="2">
        <f t="shared" si="249"/>
        <v>0</v>
      </c>
      <c r="AH485" s="2">
        <f t="shared" si="249"/>
        <v>94.916399999999996</v>
      </c>
      <c r="AI485" s="2">
        <f t="shared" si="249"/>
        <v>0</v>
      </c>
      <c r="AJ485" s="2">
        <f t="shared" si="249"/>
        <v>0</v>
      </c>
      <c r="AK485" s="2">
        <f t="shared" si="249"/>
        <v>17097.39</v>
      </c>
      <c r="AL485" s="2">
        <f t="shared" si="249"/>
        <v>2442.48</v>
      </c>
      <c r="AM485" s="2">
        <f t="shared" si="249"/>
        <v>0</v>
      </c>
      <c r="AN485" s="2">
        <f t="shared" si="249"/>
        <v>0</v>
      </c>
      <c r="AO485" s="2">
        <f t="shared" si="249"/>
        <v>0</v>
      </c>
      <c r="AP485" s="2">
        <f t="shared" si="249"/>
        <v>0</v>
      </c>
      <c r="AQ485" s="2">
        <f t="shared" si="249"/>
        <v>0</v>
      </c>
      <c r="AR485" s="2">
        <f t="shared" si="249"/>
        <v>44634.45</v>
      </c>
      <c r="AS485" s="2">
        <f t="shared" si="249"/>
        <v>0</v>
      </c>
      <c r="AT485" s="2">
        <f t="shared" si="249"/>
        <v>0</v>
      </c>
      <c r="AU485" s="2">
        <f t="shared" ref="AU485:BZ485" si="250">AU489</f>
        <v>44634.45</v>
      </c>
      <c r="AV485" s="2">
        <f t="shared" si="250"/>
        <v>0</v>
      </c>
      <c r="AW485" s="2">
        <f t="shared" si="250"/>
        <v>0</v>
      </c>
      <c r="AX485" s="2">
        <f t="shared" si="250"/>
        <v>0</v>
      </c>
      <c r="AY485" s="2">
        <f t="shared" si="250"/>
        <v>0</v>
      </c>
      <c r="AZ485" s="2">
        <f t="shared" si="250"/>
        <v>0</v>
      </c>
      <c r="BA485" s="2">
        <f t="shared" si="250"/>
        <v>0</v>
      </c>
      <c r="BB485" s="2">
        <f t="shared" si="250"/>
        <v>0</v>
      </c>
      <c r="BC485" s="2">
        <f t="shared" si="250"/>
        <v>0</v>
      </c>
      <c r="BD485" s="2">
        <f t="shared" si="250"/>
        <v>0</v>
      </c>
      <c r="BE485" s="2">
        <f t="shared" si="250"/>
        <v>0</v>
      </c>
      <c r="BF485" s="2">
        <f t="shared" si="250"/>
        <v>0</v>
      </c>
      <c r="BG485" s="2">
        <f t="shared" si="250"/>
        <v>0</v>
      </c>
      <c r="BH485" s="2">
        <f t="shared" si="250"/>
        <v>0</v>
      </c>
      <c r="BI485" s="2">
        <f t="shared" si="250"/>
        <v>0</v>
      </c>
      <c r="BJ485" s="2">
        <f t="shared" si="250"/>
        <v>0</v>
      </c>
      <c r="BK485" s="2">
        <f t="shared" si="250"/>
        <v>0</v>
      </c>
      <c r="BL485" s="2">
        <f t="shared" si="250"/>
        <v>0</v>
      </c>
      <c r="BM485" s="2">
        <f t="shared" si="250"/>
        <v>0</v>
      </c>
      <c r="BN485" s="2">
        <f t="shared" si="250"/>
        <v>0</v>
      </c>
      <c r="BO485" s="2">
        <f t="shared" si="250"/>
        <v>0</v>
      </c>
      <c r="BP485" s="2">
        <f t="shared" si="250"/>
        <v>0</v>
      </c>
      <c r="BQ485" s="2">
        <f t="shared" si="250"/>
        <v>0</v>
      </c>
      <c r="BR485" s="2">
        <f t="shared" si="250"/>
        <v>0</v>
      </c>
      <c r="BS485" s="2">
        <f t="shared" si="250"/>
        <v>0</v>
      </c>
      <c r="BT485" s="2">
        <f t="shared" si="250"/>
        <v>0</v>
      </c>
      <c r="BU485" s="2">
        <f t="shared" si="250"/>
        <v>0</v>
      </c>
      <c r="BV485" s="2">
        <f t="shared" si="250"/>
        <v>0</v>
      </c>
      <c r="BW485" s="2">
        <f t="shared" si="250"/>
        <v>0</v>
      </c>
      <c r="BX485" s="2">
        <f t="shared" si="250"/>
        <v>0</v>
      </c>
      <c r="BY485" s="2">
        <f t="shared" si="250"/>
        <v>0</v>
      </c>
      <c r="BZ485" s="2">
        <f t="shared" si="250"/>
        <v>0</v>
      </c>
      <c r="CA485" s="2">
        <f t="shared" ref="CA485:DF485" si="251">CA489</f>
        <v>44634.45</v>
      </c>
      <c r="CB485" s="2">
        <f t="shared" si="251"/>
        <v>0</v>
      </c>
      <c r="CC485" s="2">
        <f t="shared" si="251"/>
        <v>0</v>
      </c>
      <c r="CD485" s="2">
        <f t="shared" si="251"/>
        <v>44634.45</v>
      </c>
      <c r="CE485" s="2">
        <f t="shared" si="251"/>
        <v>0</v>
      </c>
      <c r="CF485" s="2">
        <f t="shared" si="251"/>
        <v>0</v>
      </c>
      <c r="CG485" s="2">
        <f t="shared" si="251"/>
        <v>0</v>
      </c>
      <c r="CH485" s="2">
        <f t="shared" si="251"/>
        <v>0</v>
      </c>
      <c r="CI485" s="2">
        <f t="shared" si="251"/>
        <v>0</v>
      </c>
      <c r="CJ485" s="2">
        <f t="shared" si="251"/>
        <v>0</v>
      </c>
      <c r="CK485" s="2">
        <f t="shared" si="251"/>
        <v>0</v>
      </c>
      <c r="CL485" s="2">
        <f t="shared" si="251"/>
        <v>0</v>
      </c>
      <c r="CM485" s="2">
        <f t="shared" si="251"/>
        <v>0</v>
      </c>
      <c r="CN485" s="2">
        <f t="shared" si="251"/>
        <v>0</v>
      </c>
      <c r="CO485" s="2">
        <f t="shared" si="251"/>
        <v>0</v>
      </c>
      <c r="CP485" s="2">
        <f t="shared" si="251"/>
        <v>0</v>
      </c>
      <c r="CQ485" s="2">
        <f t="shared" si="251"/>
        <v>0</v>
      </c>
      <c r="CR485" s="2">
        <f t="shared" si="251"/>
        <v>0</v>
      </c>
      <c r="CS485" s="2">
        <f t="shared" si="251"/>
        <v>0</v>
      </c>
      <c r="CT485" s="2">
        <f t="shared" si="251"/>
        <v>0</v>
      </c>
      <c r="CU485" s="2">
        <f t="shared" si="251"/>
        <v>0</v>
      </c>
      <c r="CV485" s="2">
        <f t="shared" si="251"/>
        <v>0</v>
      </c>
      <c r="CW485" s="2">
        <f t="shared" si="251"/>
        <v>0</v>
      </c>
      <c r="CX485" s="2">
        <f t="shared" si="251"/>
        <v>0</v>
      </c>
      <c r="CY485" s="2">
        <f t="shared" si="251"/>
        <v>0</v>
      </c>
      <c r="CZ485" s="2">
        <f t="shared" si="251"/>
        <v>0</v>
      </c>
      <c r="DA485" s="2">
        <f t="shared" si="251"/>
        <v>0</v>
      </c>
      <c r="DB485" s="2">
        <f t="shared" si="251"/>
        <v>0</v>
      </c>
      <c r="DC485" s="2">
        <f t="shared" si="251"/>
        <v>0</v>
      </c>
      <c r="DD485" s="2">
        <f t="shared" si="251"/>
        <v>0</v>
      </c>
      <c r="DE485" s="2">
        <f t="shared" si="251"/>
        <v>0</v>
      </c>
      <c r="DF485" s="2">
        <f t="shared" si="251"/>
        <v>0</v>
      </c>
      <c r="DG485" s="3">
        <f t="shared" ref="DG485:EL485" si="252">DG489</f>
        <v>0</v>
      </c>
      <c r="DH485" s="3">
        <f t="shared" si="252"/>
        <v>0</v>
      </c>
      <c r="DI485" s="3">
        <f t="shared" si="252"/>
        <v>0</v>
      </c>
      <c r="DJ485" s="3">
        <f t="shared" si="252"/>
        <v>0</v>
      </c>
      <c r="DK485" s="3">
        <f t="shared" si="252"/>
        <v>0</v>
      </c>
      <c r="DL485" s="3">
        <f t="shared" si="252"/>
        <v>0</v>
      </c>
      <c r="DM485" s="3">
        <f t="shared" si="252"/>
        <v>0</v>
      </c>
      <c r="DN485" s="3">
        <f t="shared" si="252"/>
        <v>0</v>
      </c>
      <c r="DO485" s="3">
        <f t="shared" si="252"/>
        <v>0</v>
      </c>
      <c r="DP485" s="3">
        <f t="shared" si="252"/>
        <v>0</v>
      </c>
      <c r="DQ485" s="3">
        <f t="shared" si="252"/>
        <v>0</v>
      </c>
      <c r="DR485" s="3">
        <f t="shared" si="252"/>
        <v>0</v>
      </c>
      <c r="DS485" s="3">
        <f t="shared" si="252"/>
        <v>0</v>
      </c>
      <c r="DT485" s="3">
        <f t="shared" si="252"/>
        <v>0</v>
      </c>
      <c r="DU485" s="3">
        <f t="shared" si="252"/>
        <v>0</v>
      </c>
      <c r="DV485" s="3">
        <f t="shared" si="252"/>
        <v>0</v>
      </c>
      <c r="DW485" s="3">
        <f t="shared" si="252"/>
        <v>0</v>
      </c>
      <c r="DX485" s="3">
        <f t="shared" si="252"/>
        <v>0</v>
      </c>
      <c r="DY485" s="3">
        <f t="shared" si="252"/>
        <v>0</v>
      </c>
      <c r="DZ485" s="3">
        <f t="shared" si="252"/>
        <v>0</v>
      </c>
      <c r="EA485" s="3">
        <f t="shared" si="252"/>
        <v>0</v>
      </c>
      <c r="EB485" s="3">
        <f t="shared" si="252"/>
        <v>0</v>
      </c>
      <c r="EC485" s="3">
        <f t="shared" si="252"/>
        <v>0</v>
      </c>
      <c r="ED485" s="3">
        <f t="shared" si="252"/>
        <v>0</v>
      </c>
      <c r="EE485" s="3">
        <f t="shared" si="252"/>
        <v>0</v>
      </c>
      <c r="EF485" s="3">
        <f t="shared" si="252"/>
        <v>0</v>
      </c>
      <c r="EG485" s="3">
        <f t="shared" si="252"/>
        <v>0</v>
      </c>
      <c r="EH485" s="3">
        <f t="shared" si="252"/>
        <v>0</v>
      </c>
      <c r="EI485" s="3">
        <f t="shared" si="252"/>
        <v>0</v>
      </c>
      <c r="EJ485" s="3">
        <f t="shared" si="252"/>
        <v>0</v>
      </c>
      <c r="EK485" s="3">
        <f t="shared" si="252"/>
        <v>0</v>
      </c>
      <c r="EL485" s="3">
        <f t="shared" si="252"/>
        <v>0</v>
      </c>
      <c r="EM485" s="3">
        <f t="shared" ref="EM485:FR485" si="253">EM489</f>
        <v>0</v>
      </c>
      <c r="EN485" s="3">
        <f t="shared" si="253"/>
        <v>0</v>
      </c>
      <c r="EO485" s="3">
        <f t="shared" si="253"/>
        <v>0</v>
      </c>
      <c r="EP485" s="3">
        <f t="shared" si="253"/>
        <v>0</v>
      </c>
      <c r="EQ485" s="3">
        <f t="shared" si="253"/>
        <v>0</v>
      </c>
      <c r="ER485" s="3">
        <f t="shared" si="253"/>
        <v>0</v>
      </c>
      <c r="ES485" s="3">
        <f t="shared" si="253"/>
        <v>0</v>
      </c>
      <c r="ET485" s="3">
        <f t="shared" si="253"/>
        <v>0</v>
      </c>
      <c r="EU485" s="3">
        <f t="shared" si="253"/>
        <v>0</v>
      </c>
      <c r="EV485" s="3">
        <f t="shared" si="253"/>
        <v>0</v>
      </c>
      <c r="EW485" s="3">
        <f t="shared" si="253"/>
        <v>0</v>
      </c>
      <c r="EX485" s="3">
        <f t="shared" si="253"/>
        <v>0</v>
      </c>
      <c r="EY485" s="3">
        <f t="shared" si="253"/>
        <v>0</v>
      </c>
      <c r="EZ485" s="3">
        <f t="shared" si="253"/>
        <v>0</v>
      </c>
      <c r="FA485" s="3">
        <f t="shared" si="253"/>
        <v>0</v>
      </c>
      <c r="FB485" s="3">
        <f t="shared" si="253"/>
        <v>0</v>
      </c>
      <c r="FC485" s="3">
        <f t="shared" si="253"/>
        <v>0</v>
      </c>
      <c r="FD485" s="3">
        <f t="shared" si="253"/>
        <v>0</v>
      </c>
      <c r="FE485" s="3">
        <f t="shared" si="253"/>
        <v>0</v>
      </c>
      <c r="FF485" s="3">
        <f t="shared" si="253"/>
        <v>0</v>
      </c>
      <c r="FG485" s="3">
        <f t="shared" si="253"/>
        <v>0</v>
      </c>
      <c r="FH485" s="3">
        <f t="shared" si="253"/>
        <v>0</v>
      </c>
      <c r="FI485" s="3">
        <f t="shared" si="253"/>
        <v>0</v>
      </c>
      <c r="FJ485" s="3">
        <f t="shared" si="253"/>
        <v>0</v>
      </c>
      <c r="FK485" s="3">
        <f t="shared" si="253"/>
        <v>0</v>
      </c>
      <c r="FL485" s="3">
        <f t="shared" si="253"/>
        <v>0</v>
      </c>
      <c r="FM485" s="3">
        <f t="shared" si="253"/>
        <v>0</v>
      </c>
      <c r="FN485" s="3">
        <f t="shared" si="253"/>
        <v>0</v>
      </c>
      <c r="FO485" s="3">
        <f t="shared" si="253"/>
        <v>0</v>
      </c>
      <c r="FP485" s="3">
        <f t="shared" si="253"/>
        <v>0</v>
      </c>
      <c r="FQ485" s="3">
        <f t="shared" si="253"/>
        <v>0</v>
      </c>
      <c r="FR485" s="3">
        <f t="shared" si="253"/>
        <v>0</v>
      </c>
      <c r="FS485" s="3">
        <f t="shared" ref="FS485:GX485" si="254">FS489</f>
        <v>0</v>
      </c>
      <c r="FT485" s="3">
        <f t="shared" si="254"/>
        <v>0</v>
      </c>
      <c r="FU485" s="3">
        <f t="shared" si="254"/>
        <v>0</v>
      </c>
      <c r="FV485" s="3">
        <f t="shared" si="254"/>
        <v>0</v>
      </c>
      <c r="FW485" s="3">
        <f t="shared" si="254"/>
        <v>0</v>
      </c>
      <c r="FX485" s="3">
        <f t="shared" si="254"/>
        <v>0</v>
      </c>
      <c r="FY485" s="3">
        <f t="shared" si="254"/>
        <v>0</v>
      </c>
      <c r="FZ485" s="3">
        <f t="shared" si="254"/>
        <v>0</v>
      </c>
      <c r="GA485" s="3">
        <f t="shared" si="254"/>
        <v>0</v>
      </c>
      <c r="GB485" s="3">
        <f t="shared" si="254"/>
        <v>0</v>
      </c>
      <c r="GC485" s="3">
        <f t="shared" si="254"/>
        <v>0</v>
      </c>
      <c r="GD485" s="3">
        <f t="shared" si="254"/>
        <v>0</v>
      </c>
      <c r="GE485" s="3">
        <f t="shared" si="254"/>
        <v>0</v>
      </c>
      <c r="GF485" s="3">
        <f t="shared" si="254"/>
        <v>0</v>
      </c>
      <c r="GG485" s="3">
        <f t="shared" si="254"/>
        <v>0</v>
      </c>
      <c r="GH485" s="3">
        <f t="shared" si="254"/>
        <v>0</v>
      </c>
      <c r="GI485" s="3">
        <f t="shared" si="254"/>
        <v>0</v>
      </c>
      <c r="GJ485" s="3">
        <f t="shared" si="254"/>
        <v>0</v>
      </c>
      <c r="GK485" s="3">
        <f t="shared" si="254"/>
        <v>0</v>
      </c>
      <c r="GL485" s="3">
        <f t="shared" si="254"/>
        <v>0</v>
      </c>
      <c r="GM485" s="3">
        <f t="shared" si="254"/>
        <v>0</v>
      </c>
      <c r="GN485" s="3">
        <f t="shared" si="254"/>
        <v>0</v>
      </c>
      <c r="GO485" s="3">
        <f t="shared" si="254"/>
        <v>0</v>
      </c>
      <c r="GP485" s="3">
        <f t="shared" si="254"/>
        <v>0</v>
      </c>
      <c r="GQ485" s="3">
        <f t="shared" si="254"/>
        <v>0</v>
      </c>
      <c r="GR485" s="3">
        <f t="shared" si="254"/>
        <v>0</v>
      </c>
      <c r="GS485" s="3">
        <f t="shared" si="254"/>
        <v>0</v>
      </c>
      <c r="GT485" s="3">
        <f t="shared" si="254"/>
        <v>0</v>
      </c>
      <c r="GU485" s="3">
        <f t="shared" si="254"/>
        <v>0</v>
      </c>
      <c r="GV485" s="3">
        <f t="shared" si="254"/>
        <v>0</v>
      </c>
      <c r="GW485" s="3">
        <f t="shared" si="254"/>
        <v>0</v>
      </c>
      <c r="GX485" s="3">
        <f t="shared" si="254"/>
        <v>0</v>
      </c>
    </row>
    <row r="487" spans="1:245" x14ac:dyDescent="0.2">
      <c r="A487">
        <v>17</v>
      </c>
      <c r="B487">
        <v>1</v>
      </c>
      <c r="C487">
        <f>ROW(SmtRes!A252)</f>
        <v>252</v>
      </c>
      <c r="D487">
        <f>ROW(EtalonRes!A226)</f>
        <v>226</v>
      </c>
      <c r="E487" t="s">
        <v>285</v>
      </c>
      <c r="F487" t="s">
        <v>170</v>
      </c>
      <c r="G487" t="s">
        <v>171</v>
      </c>
      <c r="H487" t="s">
        <v>155</v>
      </c>
      <c r="I487">
        <v>5.43</v>
      </c>
      <c r="J487">
        <v>0</v>
      </c>
      <c r="O487">
        <f>ROUND(CP487,2)</f>
        <v>25064.49</v>
      </c>
      <c r="P487">
        <f>ROUND(CQ487*I487,2)</f>
        <v>0</v>
      </c>
      <c r="Q487">
        <f>ROUND(CR487*I487,2)</f>
        <v>639.65</v>
      </c>
      <c r="R487">
        <f>ROUND(CS487*I487,2)</f>
        <v>27.86</v>
      </c>
      <c r="S487">
        <f>ROUND(CT487*I487,2)</f>
        <v>24424.84</v>
      </c>
      <c r="T487">
        <f>ROUND(CU487*I487,2)</f>
        <v>0</v>
      </c>
      <c r="U487">
        <f>CV487*I487</f>
        <v>94.916399999999996</v>
      </c>
      <c r="V487">
        <f>CW487*I487</f>
        <v>0</v>
      </c>
      <c r="W487">
        <f>ROUND(CX487*I487,2)</f>
        <v>0</v>
      </c>
      <c r="X487">
        <f>ROUND(CY487,2)</f>
        <v>17097.39</v>
      </c>
      <c r="Y487">
        <f>ROUND(CZ487,2)</f>
        <v>2442.48</v>
      </c>
      <c r="AA487">
        <v>38799519</v>
      </c>
      <c r="AB487">
        <f>ROUND((AC487+AD487+AF487),6)</f>
        <v>4615.9279999999999</v>
      </c>
      <c r="AC487">
        <f>ROUND(((ES487*0)),6)</f>
        <v>0</v>
      </c>
      <c r="AD487">
        <f>ROUND(((((ET487*0.2))-((EU487*0.2)))+AE487),6)</f>
        <v>117.8</v>
      </c>
      <c r="AE487">
        <f>ROUND(((EU487*0.2)),6)</f>
        <v>5.13</v>
      </c>
      <c r="AF487">
        <f>ROUND(((EV487*0.2)),6)</f>
        <v>4498.1279999999997</v>
      </c>
      <c r="AG487">
        <f>ROUND((AP487),6)</f>
        <v>0</v>
      </c>
      <c r="AH487">
        <f>((EW487*0.2))</f>
        <v>17.48</v>
      </c>
      <c r="AI487">
        <f>((EX487*0.2))</f>
        <v>0</v>
      </c>
      <c r="AJ487">
        <f>(AS487)</f>
        <v>0</v>
      </c>
      <c r="AK487">
        <v>98608.07</v>
      </c>
      <c r="AL487">
        <v>75528.429999999993</v>
      </c>
      <c r="AM487">
        <v>589</v>
      </c>
      <c r="AN487">
        <v>25.65</v>
      </c>
      <c r="AO487">
        <v>22490.639999999999</v>
      </c>
      <c r="AP487">
        <v>0</v>
      </c>
      <c r="AQ487">
        <v>87.4</v>
      </c>
      <c r="AR487">
        <v>0</v>
      </c>
      <c r="AS487">
        <v>0</v>
      </c>
      <c r="AT487">
        <v>70</v>
      </c>
      <c r="AU487">
        <v>10</v>
      </c>
      <c r="AV487">
        <v>1</v>
      </c>
      <c r="AW487">
        <v>1</v>
      </c>
      <c r="AZ487">
        <v>1</v>
      </c>
      <c r="BA487">
        <v>1</v>
      </c>
      <c r="BB487">
        <v>1</v>
      </c>
      <c r="BC487">
        <v>1</v>
      </c>
      <c r="BD487" t="s">
        <v>3</v>
      </c>
      <c r="BE487" t="s">
        <v>3</v>
      </c>
      <c r="BF487" t="s">
        <v>3</v>
      </c>
      <c r="BG487" t="s">
        <v>3</v>
      </c>
      <c r="BH487">
        <v>0</v>
      </c>
      <c r="BI487">
        <v>4</v>
      </c>
      <c r="BJ487" t="s">
        <v>172</v>
      </c>
      <c r="BM487">
        <v>0</v>
      </c>
      <c r="BN487">
        <v>0</v>
      </c>
      <c r="BO487" t="s">
        <v>3</v>
      </c>
      <c r="BP487">
        <v>0</v>
      </c>
      <c r="BQ487">
        <v>1</v>
      </c>
      <c r="BR487">
        <v>0</v>
      </c>
      <c r="BS487">
        <v>1</v>
      </c>
      <c r="BT487">
        <v>1</v>
      </c>
      <c r="BU487">
        <v>1</v>
      </c>
      <c r="BV487">
        <v>1</v>
      </c>
      <c r="BW487">
        <v>1</v>
      </c>
      <c r="BX487">
        <v>1</v>
      </c>
      <c r="BY487" t="s">
        <v>3</v>
      </c>
      <c r="BZ487">
        <v>70</v>
      </c>
      <c r="CA487">
        <v>10</v>
      </c>
      <c r="CE487">
        <v>0</v>
      </c>
      <c r="CF487">
        <v>0</v>
      </c>
      <c r="CG487">
        <v>0</v>
      </c>
      <c r="CM487">
        <v>0</v>
      </c>
      <c r="CN487" t="s">
        <v>657</v>
      </c>
      <c r="CO487">
        <v>0</v>
      </c>
      <c r="CP487">
        <f>(P487+Q487+S487)</f>
        <v>25064.49</v>
      </c>
      <c r="CQ487">
        <f>(AC487*BC487*AW487)</f>
        <v>0</v>
      </c>
      <c r="CR487">
        <f>(((((ET487*0.2))*BB487-((EU487*0.2))*BS487)+AE487*BS487)*AV487)</f>
        <v>117.80000000000001</v>
      </c>
      <c r="CS487">
        <f>(AE487*BS487*AV487)</f>
        <v>5.13</v>
      </c>
      <c r="CT487">
        <f>(AF487*BA487*AV487)</f>
        <v>4498.1279999999997</v>
      </c>
      <c r="CU487">
        <f>AG487</f>
        <v>0</v>
      </c>
      <c r="CV487">
        <f>(AH487*AV487)</f>
        <v>17.48</v>
      </c>
      <c r="CW487">
        <f>AI487</f>
        <v>0</v>
      </c>
      <c r="CX487">
        <f>AJ487</f>
        <v>0</v>
      </c>
      <c r="CY487">
        <f>((S487*BZ487)/100)</f>
        <v>17097.387999999999</v>
      </c>
      <c r="CZ487">
        <f>((S487*CA487)/100)</f>
        <v>2442.4839999999999</v>
      </c>
      <c r="DC487" t="s">
        <v>3</v>
      </c>
      <c r="DD487" t="s">
        <v>21</v>
      </c>
      <c r="DE487" t="s">
        <v>22</v>
      </c>
      <c r="DF487" t="s">
        <v>22</v>
      </c>
      <c r="DG487" t="s">
        <v>22</v>
      </c>
      <c r="DH487" t="s">
        <v>3</v>
      </c>
      <c r="DI487" t="s">
        <v>22</v>
      </c>
      <c r="DJ487" t="s">
        <v>22</v>
      </c>
      <c r="DK487" t="s">
        <v>3</v>
      </c>
      <c r="DL487" t="s">
        <v>3</v>
      </c>
      <c r="DM487" t="s">
        <v>3</v>
      </c>
      <c r="DN487">
        <v>0</v>
      </c>
      <c r="DO487">
        <v>0</v>
      </c>
      <c r="DP487">
        <v>1</v>
      </c>
      <c r="DQ487">
        <v>1</v>
      </c>
      <c r="DU487">
        <v>1009</v>
      </c>
      <c r="DV487" t="s">
        <v>155</v>
      </c>
      <c r="DW487" t="s">
        <v>155</v>
      </c>
      <c r="DX487">
        <v>1000</v>
      </c>
      <c r="EE487">
        <v>38447819</v>
      </c>
      <c r="EF487">
        <v>1</v>
      </c>
      <c r="EG487" t="s">
        <v>23</v>
      </c>
      <c r="EH487">
        <v>0</v>
      </c>
      <c r="EI487" t="s">
        <v>3</v>
      </c>
      <c r="EJ487">
        <v>4</v>
      </c>
      <c r="EK487">
        <v>0</v>
      </c>
      <c r="EL487" t="s">
        <v>24</v>
      </c>
      <c r="EM487" t="s">
        <v>25</v>
      </c>
      <c r="EO487" t="s">
        <v>26</v>
      </c>
      <c r="EQ487">
        <v>0</v>
      </c>
      <c r="ER487">
        <v>98608.07</v>
      </c>
      <c r="ES487">
        <v>75528.429999999993</v>
      </c>
      <c r="ET487">
        <v>589</v>
      </c>
      <c r="EU487">
        <v>25.65</v>
      </c>
      <c r="EV487">
        <v>22490.639999999999</v>
      </c>
      <c r="EW487">
        <v>87.4</v>
      </c>
      <c r="EX487">
        <v>0</v>
      </c>
      <c r="EY487">
        <v>0</v>
      </c>
      <c r="FQ487">
        <v>0</v>
      </c>
      <c r="FR487">
        <f>ROUND(IF(AND(BH487=3,BI487=3),P487,0),2)</f>
        <v>0</v>
      </c>
      <c r="FS487">
        <v>0</v>
      </c>
      <c r="FX487">
        <v>70</v>
      </c>
      <c r="FY487">
        <v>10</v>
      </c>
      <c r="GA487" t="s">
        <v>3</v>
      </c>
      <c r="GD487">
        <v>0</v>
      </c>
      <c r="GF487">
        <v>-1542919465</v>
      </c>
      <c r="GG487">
        <v>2</v>
      </c>
      <c r="GH487">
        <v>1</v>
      </c>
      <c r="GI487">
        <v>-2</v>
      </c>
      <c r="GJ487">
        <v>0</v>
      </c>
      <c r="GK487">
        <f>ROUND(R487*(R12)/100,2)</f>
        <v>30.09</v>
      </c>
      <c r="GL487">
        <f>ROUND(IF(AND(BH487=3,BI487=3,FS487&lt;&gt;0),P487,0),2)</f>
        <v>0</v>
      </c>
      <c r="GM487">
        <f>ROUND(O487+X487+Y487+GK487,2)+GX487</f>
        <v>44634.45</v>
      </c>
      <c r="GN487">
        <f>IF(OR(BI487=0,BI487=1),ROUND(O487+X487+Y487+GK487,2),0)</f>
        <v>0</v>
      </c>
      <c r="GO487">
        <f>IF(BI487=2,ROUND(O487+X487+Y487+GK487,2),0)</f>
        <v>0</v>
      </c>
      <c r="GP487">
        <f>IF(BI487=4,ROUND(O487+X487+Y487+GK487,2)+GX487,0)</f>
        <v>44634.45</v>
      </c>
      <c r="GR487">
        <v>0</v>
      </c>
      <c r="GS487">
        <v>3</v>
      </c>
      <c r="GT487">
        <v>0</v>
      </c>
      <c r="GU487" t="s">
        <v>3</v>
      </c>
      <c r="GV487">
        <f>ROUND((GT487),6)</f>
        <v>0</v>
      </c>
      <c r="GW487">
        <v>1</v>
      </c>
      <c r="GX487">
        <f>ROUND(HC487*I487,2)</f>
        <v>0</v>
      </c>
      <c r="HA487">
        <v>0</v>
      </c>
      <c r="HB487">
        <v>0</v>
      </c>
      <c r="HC487">
        <f>GV487*GW487</f>
        <v>0</v>
      </c>
      <c r="HE487" t="s">
        <v>3</v>
      </c>
      <c r="HF487" t="s">
        <v>3</v>
      </c>
      <c r="IK487">
        <v>0</v>
      </c>
    </row>
    <row r="489" spans="1:245" x14ac:dyDescent="0.2">
      <c r="A489" s="2">
        <v>51</v>
      </c>
      <c r="B489" s="2">
        <f>B483</f>
        <v>1</v>
      </c>
      <c r="C489" s="2">
        <f>A483</f>
        <v>5</v>
      </c>
      <c r="D489" s="2">
        <f>ROW(A483)</f>
        <v>483</v>
      </c>
      <c r="E489" s="2"/>
      <c r="F489" s="2" t="str">
        <f>IF(F483&lt;&gt;"",F483,"")</f>
        <v>Новый подраздел</v>
      </c>
      <c r="G489" s="2" t="str">
        <f>IF(G483&lt;&gt;"",G483,"")</f>
        <v>Демонтажные работы</v>
      </c>
      <c r="H489" s="2">
        <v>0</v>
      </c>
      <c r="I489" s="2"/>
      <c r="J489" s="2"/>
      <c r="K489" s="2"/>
      <c r="L489" s="2"/>
      <c r="M489" s="2"/>
      <c r="N489" s="2"/>
      <c r="O489" s="2">
        <f t="shared" ref="O489:T489" si="255">ROUND(AB489,2)</f>
        <v>25064.49</v>
      </c>
      <c r="P489" s="2">
        <f t="shared" si="255"/>
        <v>0</v>
      </c>
      <c r="Q489" s="2">
        <f t="shared" si="255"/>
        <v>639.65</v>
      </c>
      <c r="R489" s="2">
        <f t="shared" si="255"/>
        <v>27.86</v>
      </c>
      <c r="S489" s="2">
        <f t="shared" si="255"/>
        <v>24424.84</v>
      </c>
      <c r="T489" s="2">
        <f t="shared" si="255"/>
        <v>0</v>
      </c>
      <c r="U489" s="2">
        <f>AH489</f>
        <v>94.916399999999996</v>
      </c>
      <c r="V489" s="2">
        <f>AI489</f>
        <v>0</v>
      </c>
      <c r="W489" s="2">
        <f>ROUND(AJ489,2)</f>
        <v>0</v>
      </c>
      <c r="X489" s="2">
        <f>ROUND(AK489,2)</f>
        <v>17097.39</v>
      </c>
      <c r="Y489" s="2">
        <f>ROUND(AL489,2)</f>
        <v>2442.48</v>
      </c>
      <c r="Z489" s="2"/>
      <c r="AA489" s="2"/>
      <c r="AB489" s="2">
        <f>ROUND(SUMIF(AA487:AA487,"=38799519",O487:O487),2)</f>
        <v>25064.49</v>
      </c>
      <c r="AC489" s="2">
        <f>ROUND(SUMIF(AA487:AA487,"=38799519",P487:P487),2)</f>
        <v>0</v>
      </c>
      <c r="AD489" s="2">
        <f>ROUND(SUMIF(AA487:AA487,"=38799519",Q487:Q487),2)</f>
        <v>639.65</v>
      </c>
      <c r="AE489" s="2">
        <f>ROUND(SUMIF(AA487:AA487,"=38799519",R487:R487),2)</f>
        <v>27.86</v>
      </c>
      <c r="AF489" s="2">
        <f>ROUND(SUMIF(AA487:AA487,"=38799519",S487:S487),2)</f>
        <v>24424.84</v>
      </c>
      <c r="AG489" s="2">
        <f>ROUND(SUMIF(AA487:AA487,"=38799519",T487:T487),2)</f>
        <v>0</v>
      </c>
      <c r="AH489" s="2">
        <f>SUMIF(AA487:AA487,"=38799519",U487:U487)</f>
        <v>94.916399999999996</v>
      </c>
      <c r="AI489" s="2">
        <f>SUMIF(AA487:AA487,"=38799519",V487:V487)</f>
        <v>0</v>
      </c>
      <c r="AJ489" s="2">
        <f>ROUND(SUMIF(AA487:AA487,"=38799519",W487:W487),2)</f>
        <v>0</v>
      </c>
      <c r="AK489" s="2">
        <f>ROUND(SUMIF(AA487:AA487,"=38799519",X487:X487),2)</f>
        <v>17097.39</v>
      </c>
      <c r="AL489" s="2">
        <f>ROUND(SUMIF(AA487:AA487,"=38799519",Y487:Y487),2)</f>
        <v>2442.48</v>
      </c>
      <c r="AM489" s="2"/>
      <c r="AN489" s="2"/>
      <c r="AO489" s="2">
        <f t="shared" ref="AO489:BD489" si="256">ROUND(BX489,2)</f>
        <v>0</v>
      </c>
      <c r="AP489" s="2">
        <f t="shared" si="256"/>
        <v>0</v>
      </c>
      <c r="AQ489" s="2">
        <f t="shared" si="256"/>
        <v>0</v>
      </c>
      <c r="AR489" s="2">
        <f t="shared" si="256"/>
        <v>44634.45</v>
      </c>
      <c r="AS489" s="2">
        <f t="shared" si="256"/>
        <v>0</v>
      </c>
      <c r="AT489" s="2">
        <f t="shared" si="256"/>
        <v>0</v>
      </c>
      <c r="AU489" s="2">
        <f t="shared" si="256"/>
        <v>44634.45</v>
      </c>
      <c r="AV489" s="2">
        <f t="shared" si="256"/>
        <v>0</v>
      </c>
      <c r="AW489" s="2">
        <f t="shared" si="256"/>
        <v>0</v>
      </c>
      <c r="AX489" s="2">
        <f t="shared" si="256"/>
        <v>0</v>
      </c>
      <c r="AY489" s="2">
        <f t="shared" si="256"/>
        <v>0</v>
      </c>
      <c r="AZ489" s="2">
        <f t="shared" si="256"/>
        <v>0</v>
      </c>
      <c r="BA489" s="2">
        <f t="shared" si="256"/>
        <v>0</v>
      </c>
      <c r="BB489" s="2">
        <f t="shared" si="256"/>
        <v>0</v>
      </c>
      <c r="BC489" s="2">
        <f t="shared" si="256"/>
        <v>0</v>
      </c>
      <c r="BD489" s="2">
        <f t="shared" si="256"/>
        <v>0</v>
      </c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>
        <f>ROUND(SUMIF(AA487:AA487,"=38799519",FQ487:FQ487),2)</f>
        <v>0</v>
      </c>
      <c r="BY489" s="2">
        <f>ROUND(SUMIF(AA487:AA487,"=38799519",FR487:FR487),2)</f>
        <v>0</v>
      </c>
      <c r="BZ489" s="2">
        <f>ROUND(SUMIF(AA487:AA487,"=38799519",GL487:GL487),2)</f>
        <v>0</v>
      </c>
      <c r="CA489" s="2">
        <f>ROUND(SUMIF(AA487:AA487,"=38799519",GM487:GM487),2)</f>
        <v>44634.45</v>
      </c>
      <c r="CB489" s="2">
        <f>ROUND(SUMIF(AA487:AA487,"=38799519",GN487:GN487),2)</f>
        <v>0</v>
      </c>
      <c r="CC489" s="2">
        <f>ROUND(SUMIF(AA487:AA487,"=38799519",GO487:GO487),2)</f>
        <v>0</v>
      </c>
      <c r="CD489" s="2">
        <f>ROUND(SUMIF(AA487:AA487,"=38799519",GP487:GP487),2)</f>
        <v>44634.45</v>
      </c>
      <c r="CE489" s="2">
        <f>AC489-BX489</f>
        <v>0</v>
      </c>
      <c r="CF489" s="2">
        <f>AC489-BY489</f>
        <v>0</v>
      </c>
      <c r="CG489" s="2">
        <f>BX489-BZ489</f>
        <v>0</v>
      </c>
      <c r="CH489" s="2">
        <f>AC489-BX489-BY489+BZ489</f>
        <v>0</v>
      </c>
      <c r="CI489" s="2">
        <f>BY489-BZ489</f>
        <v>0</v>
      </c>
      <c r="CJ489" s="2">
        <f>ROUND(SUMIF(AA487:AA487,"=38799519",GX487:GX487),2)</f>
        <v>0</v>
      </c>
      <c r="CK489" s="2">
        <f>ROUND(SUMIF(AA487:AA487,"=38799519",GY487:GY487),2)</f>
        <v>0</v>
      </c>
      <c r="CL489" s="2">
        <f>ROUND(SUMIF(AA487:AA487,"=38799519",GZ487:GZ487),2)</f>
        <v>0</v>
      </c>
      <c r="CM489" s="2">
        <f>ROUND(SUMIF(AA487:AA487,"=38799519",HD487:HD487),2)</f>
        <v>0</v>
      </c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  <c r="EX489" s="3"/>
      <c r="EY489" s="3"/>
      <c r="EZ489" s="3"/>
      <c r="FA489" s="3"/>
      <c r="FB489" s="3"/>
      <c r="FC489" s="3"/>
      <c r="FD489" s="3"/>
      <c r="FE489" s="3"/>
      <c r="FF489" s="3"/>
      <c r="FG489" s="3"/>
      <c r="FH489" s="3"/>
      <c r="FI489" s="3"/>
      <c r="FJ489" s="3"/>
      <c r="FK489" s="3"/>
      <c r="FL489" s="3"/>
      <c r="FM489" s="3"/>
      <c r="FN489" s="3"/>
      <c r="FO489" s="3"/>
      <c r="FP489" s="3"/>
      <c r="FQ489" s="3"/>
      <c r="FR489" s="3"/>
      <c r="FS489" s="3"/>
      <c r="FT489" s="3"/>
      <c r="FU489" s="3"/>
      <c r="FV489" s="3"/>
      <c r="FW489" s="3"/>
      <c r="FX489" s="3"/>
      <c r="FY489" s="3"/>
      <c r="FZ489" s="3"/>
      <c r="GA489" s="3"/>
      <c r="GB489" s="3"/>
      <c r="GC489" s="3"/>
      <c r="GD489" s="3"/>
      <c r="GE489" s="3"/>
      <c r="GF489" s="3"/>
      <c r="GG489" s="3"/>
      <c r="GH489" s="3"/>
      <c r="GI489" s="3"/>
      <c r="GJ489" s="3"/>
      <c r="GK489" s="3"/>
      <c r="GL489" s="3"/>
      <c r="GM489" s="3"/>
      <c r="GN489" s="3"/>
      <c r="GO489" s="3"/>
      <c r="GP489" s="3"/>
      <c r="GQ489" s="3"/>
      <c r="GR489" s="3"/>
      <c r="GS489" s="3"/>
      <c r="GT489" s="3"/>
      <c r="GU489" s="3"/>
      <c r="GV489" s="3"/>
      <c r="GW489" s="3"/>
      <c r="GX489" s="3">
        <v>0</v>
      </c>
    </row>
    <row r="491" spans="1:245" x14ac:dyDescent="0.2">
      <c r="A491" s="4">
        <v>50</v>
      </c>
      <c r="B491" s="4">
        <v>0</v>
      </c>
      <c r="C491" s="4">
        <v>0</v>
      </c>
      <c r="D491" s="4">
        <v>1</v>
      </c>
      <c r="E491" s="4">
        <v>201</v>
      </c>
      <c r="F491" s="4">
        <f>ROUND(Source!O489,O491)</f>
        <v>25064.49</v>
      </c>
      <c r="G491" s="4" t="s">
        <v>50</v>
      </c>
      <c r="H491" s="4" t="s">
        <v>51</v>
      </c>
      <c r="I491" s="4"/>
      <c r="J491" s="4"/>
      <c r="K491" s="4">
        <v>201</v>
      </c>
      <c r="L491" s="4">
        <v>1</v>
      </c>
      <c r="M491" s="4">
        <v>3</v>
      </c>
      <c r="N491" s="4" t="s">
        <v>3</v>
      </c>
      <c r="O491" s="4">
        <v>2</v>
      </c>
      <c r="P491" s="4"/>
      <c r="Q491" s="4"/>
      <c r="R491" s="4"/>
      <c r="S491" s="4"/>
      <c r="T491" s="4"/>
      <c r="U491" s="4"/>
      <c r="V491" s="4"/>
      <c r="W491" s="4"/>
    </row>
    <row r="492" spans="1:245" x14ac:dyDescent="0.2">
      <c r="A492" s="4">
        <v>50</v>
      </c>
      <c r="B492" s="4">
        <v>0</v>
      </c>
      <c r="C492" s="4">
        <v>0</v>
      </c>
      <c r="D492" s="4">
        <v>1</v>
      </c>
      <c r="E492" s="4">
        <v>202</v>
      </c>
      <c r="F492" s="4">
        <f>ROUND(Source!P489,O492)</f>
        <v>0</v>
      </c>
      <c r="G492" s="4" t="s">
        <v>52</v>
      </c>
      <c r="H492" s="4" t="s">
        <v>53</v>
      </c>
      <c r="I492" s="4"/>
      <c r="J492" s="4"/>
      <c r="K492" s="4">
        <v>202</v>
      </c>
      <c r="L492" s="4">
        <v>2</v>
      </c>
      <c r="M492" s="4">
        <v>3</v>
      </c>
      <c r="N492" s="4" t="s">
        <v>3</v>
      </c>
      <c r="O492" s="4">
        <v>2</v>
      </c>
      <c r="P492" s="4"/>
      <c r="Q492" s="4"/>
      <c r="R492" s="4"/>
      <c r="S492" s="4"/>
      <c r="T492" s="4"/>
      <c r="U492" s="4"/>
      <c r="V492" s="4"/>
      <c r="W492" s="4"/>
    </row>
    <row r="493" spans="1:245" x14ac:dyDescent="0.2">
      <c r="A493" s="4">
        <v>50</v>
      </c>
      <c r="B493" s="4">
        <v>0</v>
      </c>
      <c r="C493" s="4">
        <v>0</v>
      </c>
      <c r="D493" s="4">
        <v>1</v>
      </c>
      <c r="E493" s="4">
        <v>222</v>
      </c>
      <c r="F493" s="4">
        <f>ROUND(Source!AO489,O493)</f>
        <v>0</v>
      </c>
      <c r="G493" s="4" t="s">
        <v>54</v>
      </c>
      <c r="H493" s="4" t="s">
        <v>55</v>
      </c>
      <c r="I493" s="4"/>
      <c r="J493" s="4"/>
      <c r="K493" s="4">
        <v>222</v>
      </c>
      <c r="L493" s="4">
        <v>3</v>
      </c>
      <c r="M493" s="4">
        <v>3</v>
      </c>
      <c r="N493" s="4" t="s">
        <v>3</v>
      </c>
      <c r="O493" s="4">
        <v>2</v>
      </c>
      <c r="P493" s="4"/>
      <c r="Q493" s="4"/>
      <c r="R493" s="4"/>
      <c r="S493" s="4"/>
      <c r="T493" s="4"/>
      <c r="U493" s="4"/>
      <c r="V493" s="4"/>
      <c r="W493" s="4"/>
    </row>
    <row r="494" spans="1:245" x14ac:dyDescent="0.2">
      <c r="A494" s="4">
        <v>50</v>
      </c>
      <c r="B494" s="4">
        <v>0</v>
      </c>
      <c r="C494" s="4">
        <v>0</v>
      </c>
      <c r="D494" s="4">
        <v>1</v>
      </c>
      <c r="E494" s="4">
        <v>225</v>
      </c>
      <c r="F494" s="4">
        <f>ROUND(Source!AV489,O494)</f>
        <v>0</v>
      </c>
      <c r="G494" s="4" t="s">
        <v>56</v>
      </c>
      <c r="H494" s="4" t="s">
        <v>57</v>
      </c>
      <c r="I494" s="4"/>
      <c r="J494" s="4"/>
      <c r="K494" s="4">
        <v>225</v>
      </c>
      <c r="L494" s="4">
        <v>4</v>
      </c>
      <c r="M494" s="4">
        <v>3</v>
      </c>
      <c r="N494" s="4" t="s">
        <v>3</v>
      </c>
      <c r="O494" s="4">
        <v>2</v>
      </c>
      <c r="P494" s="4"/>
      <c r="Q494" s="4"/>
      <c r="R494" s="4"/>
      <c r="S494" s="4"/>
      <c r="T494" s="4"/>
      <c r="U494" s="4"/>
      <c r="V494" s="4"/>
      <c r="W494" s="4"/>
    </row>
    <row r="495" spans="1:245" x14ac:dyDescent="0.2">
      <c r="A495" s="4">
        <v>50</v>
      </c>
      <c r="B495" s="4">
        <v>0</v>
      </c>
      <c r="C495" s="4">
        <v>0</v>
      </c>
      <c r="D495" s="4">
        <v>1</v>
      </c>
      <c r="E495" s="4">
        <v>226</v>
      </c>
      <c r="F495" s="4">
        <f>ROUND(Source!AW489,O495)</f>
        <v>0</v>
      </c>
      <c r="G495" s="4" t="s">
        <v>58</v>
      </c>
      <c r="H495" s="4" t="s">
        <v>59</v>
      </c>
      <c r="I495" s="4"/>
      <c r="J495" s="4"/>
      <c r="K495" s="4">
        <v>226</v>
      </c>
      <c r="L495" s="4">
        <v>5</v>
      </c>
      <c r="M495" s="4">
        <v>3</v>
      </c>
      <c r="N495" s="4" t="s">
        <v>3</v>
      </c>
      <c r="O495" s="4">
        <v>2</v>
      </c>
      <c r="P495" s="4"/>
      <c r="Q495" s="4"/>
      <c r="R495" s="4"/>
      <c r="S495" s="4"/>
      <c r="T495" s="4"/>
      <c r="U495" s="4"/>
      <c r="V495" s="4"/>
      <c r="W495" s="4"/>
    </row>
    <row r="496" spans="1:245" x14ac:dyDescent="0.2">
      <c r="A496" s="4">
        <v>50</v>
      </c>
      <c r="B496" s="4">
        <v>0</v>
      </c>
      <c r="C496" s="4">
        <v>0</v>
      </c>
      <c r="D496" s="4">
        <v>1</v>
      </c>
      <c r="E496" s="4">
        <v>227</v>
      </c>
      <c r="F496" s="4">
        <f>ROUND(Source!AX489,O496)</f>
        <v>0</v>
      </c>
      <c r="G496" s="4" t="s">
        <v>60</v>
      </c>
      <c r="H496" s="4" t="s">
        <v>61</v>
      </c>
      <c r="I496" s="4"/>
      <c r="J496" s="4"/>
      <c r="K496" s="4">
        <v>227</v>
      </c>
      <c r="L496" s="4">
        <v>6</v>
      </c>
      <c r="M496" s="4">
        <v>3</v>
      </c>
      <c r="N496" s="4" t="s">
        <v>3</v>
      </c>
      <c r="O496" s="4">
        <v>2</v>
      </c>
      <c r="P496" s="4"/>
      <c r="Q496" s="4"/>
      <c r="R496" s="4"/>
      <c r="S496" s="4"/>
      <c r="T496" s="4"/>
      <c r="U496" s="4"/>
      <c r="V496" s="4"/>
      <c r="W496" s="4"/>
    </row>
    <row r="497" spans="1:23" x14ac:dyDescent="0.2">
      <c r="A497" s="4">
        <v>50</v>
      </c>
      <c r="B497" s="4">
        <v>0</v>
      </c>
      <c r="C497" s="4">
        <v>0</v>
      </c>
      <c r="D497" s="4">
        <v>1</v>
      </c>
      <c r="E497" s="4">
        <v>228</v>
      </c>
      <c r="F497" s="4">
        <f>ROUND(Source!AY489,O497)</f>
        <v>0</v>
      </c>
      <c r="G497" s="4" t="s">
        <v>62</v>
      </c>
      <c r="H497" s="4" t="s">
        <v>63</v>
      </c>
      <c r="I497" s="4"/>
      <c r="J497" s="4"/>
      <c r="K497" s="4">
        <v>228</v>
      </c>
      <c r="L497" s="4">
        <v>7</v>
      </c>
      <c r="M497" s="4">
        <v>3</v>
      </c>
      <c r="N497" s="4" t="s">
        <v>3</v>
      </c>
      <c r="O497" s="4">
        <v>2</v>
      </c>
      <c r="P497" s="4"/>
      <c r="Q497" s="4"/>
      <c r="R497" s="4"/>
      <c r="S497" s="4"/>
      <c r="T497" s="4"/>
      <c r="U497" s="4"/>
      <c r="V497" s="4"/>
      <c r="W497" s="4"/>
    </row>
    <row r="498" spans="1:23" x14ac:dyDescent="0.2">
      <c r="A498" s="4">
        <v>50</v>
      </c>
      <c r="B498" s="4">
        <v>0</v>
      </c>
      <c r="C498" s="4">
        <v>0</v>
      </c>
      <c r="D498" s="4">
        <v>1</v>
      </c>
      <c r="E498" s="4">
        <v>216</v>
      </c>
      <c r="F498" s="4">
        <f>ROUND(Source!AP489,O498)</f>
        <v>0</v>
      </c>
      <c r="G498" s="4" t="s">
        <v>64</v>
      </c>
      <c r="H498" s="4" t="s">
        <v>65</v>
      </c>
      <c r="I498" s="4"/>
      <c r="J498" s="4"/>
      <c r="K498" s="4">
        <v>216</v>
      </c>
      <c r="L498" s="4">
        <v>8</v>
      </c>
      <c r="M498" s="4">
        <v>3</v>
      </c>
      <c r="N498" s="4" t="s">
        <v>3</v>
      </c>
      <c r="O498" s="4">
        <v>2</v>
      </c>
      <c r="P498" s="4"/>
      <c r="Q498" s="4"/>
      <c r="R498" s="4"/>
      <c r="S498" s="4"/>
      <c r="T498" s="4"/>
      <c r="U498" s="4"/>
      <c r="V498" s="4"/>
      <c r="W498" s="4"/>
    </row>
    <row r="499" spans="1:23" x14ac:dyDescent="0.2">
      <c r="A499" s="4">
        <v>50</v>
      </c>
      <c r="B499" s="4">
        <v>0</v>
      </c>
      <c r="C499" s="4">
        <v>0</v>
      </c>
      <c r="D499" s="4">
        <v>1</v>
      </c>
      <c r="E499" s="4">
        <v>223</v>
      </c>
      <c r="F499" s="4">
        <f>ROUND(Source!AQ489,O499)</f>
        <v>0</v>
      </c>
      <c r="G499" s="4" t="s">
        <v>66</v>
      </c>
      <c r="H499" s="4" t="s">
        <v>67</v>
      </c>
      <c r="I499" s="4"/>
      <c r="J499" s="4"/>
      <c r="K499" s="4">
        <v>223</v>
      </c>
      <c r="L499" s="4">
        <v>9</v>
      </c>
      <c r="M499" s="4">
        <v>3</v>
      </c>
      <c r="N499" s="4" t="s">
        <v>3</v>
      </c>
      <c r="O499" s="4">
        <v>2</v>
      </c>
      <c r="P499" s="4"/>
      <c r="Q499" s="4"/>
      <c r="R499" s="4"/>
      <c r="S499" s="4"/>
      <c r="T499" s="4"/>
      <c r="U499" s="4"/>
      <c r="V499" s="4"/>
      <c r="W499" s="4"/>
    </row>
    <row r="500" spans="1:23" x14ac:dyDescent="0.2">
      <c r="A500" s="4">
        <v>50</v>
      </c>
      <c r="B500" s="4">
        <v>0</v>
      </c>
      <c r="C500" s="4">
        <v>0</v>
      </c>
      <c r="D500" s="4">
        <v>1</v>
      </c>
      <c r="E500" s="4">
        <v>229</v>
      </c>
      <c r="F500" s="4">
        <f>ROUND(Source!AZ489,O500)</f>
        <v>0</v>
      </c>
      <c r="G500" s="4" t="s">
        <v>68</v>
      </c>
      <c r="H500" s="4" t="s">
        <v>69</v>
      </c>
      <c r="I500" s="4"/>
      <c r="J500" s="4"/>
      <c r="K500" s="4">
        <v>229</v>
      </c>
      <c r="L500" s="4">
        <v>10</v>
      </c>
      <c r="M500" s="4">
        <v>3</v>
      </c>
      <c r="N500" s="4" t="s">
        <v>3</v>
      </c>
      <c r="O500" s="4">
        <v>2</v>
      </c>
      <c r="P500" s="4"/>
      <c r="Q500" s="4"/>
      <c r="R500" s="4"/>
      <c r="S500" s="4"/>
      <c r="T500" s="4"/>
      <c r="U500" s="4"/>
      <c r="V500" s="4"/>
      <c r="W500" s="4"/>
    </row>
    <row r="501" spans="1:23" x14ac:dyDescent="0.2">
      <c r="A501" s="4">
        <v>50</v>
      </c>
      <c r="B501" s="4">
        <v>0</v>
      </c>
      <c r="C501" s="4">
        <v>0</v>
      </c>
      <c r="D501" s="4">
        <v>1</v>
      </c>
      <c r="E501" s="4">
        <v>203</v>
      </c>
      <c r="F501" s="4">
        <f>ROUND(Source!Q489,O501)</f>
        <v>639.65</v>
      </c>
      <c r="G501" s="4" t="s">
        <v>70</v>
      </c>
      <c r="H501" s="4" t="s">
        <v>71</v>
      </c>
      <c r="I501" s="4"/>
      <c r="J501" s="4"/>
      <c r="K501" s="4">
        <v>203</v>
      </c>
      <c r="L501" s="4">
        <v>11</v>
      </c>
      <c r="M501" s="4">
        <v>3</v>
      </c>
      <c r="N501" s="4" t="s">
        <v>3</v>
      </c>
      <c r="O501" s="4">
        <v>2</v>
      </c>
      <c r="P501" s="4"/>
      <c r="Q501" s="4"/>
      <c r="R501" s="4"/>
      <c r="S501" s="4"/>
      <c r="T501" s="4"/>
      <c r="U501" s="4"/>
      <c r="V501" s="4"/>
      <c r="W501" s="4"/>
    </row>
    <row r="502" spans="1:23" x14ac:dyDescent="0.2">
      <c r="A502" s="4">
        <v>50</v>
      </c>
      <c r="B502" s="4">
        <v>0</v>
      </c>
      <c r="C502" s="4">
        <v>0</v>
      </c>
      <c r="D502" s="4">
        <v>1</v>
      </c>
      <c r="E502" s="4">
        <v>231</v>
      </c>
      <c r="F502" s="4">
        <f>ROUND(Source!BB489,O502)</f>
        <v>0</v>
      </c>
      <c r="G502" s="4" t="s">
        <v>72</v>
      </c>
      <c r="H502" s="4" t="s">
        <v>73</v>
      </c>
      <c r="I502" s="4"/>
      <c r="J502" s="4"/>
      <c r="K502" s="4">
        <v>231</v>
      </c>
      <c r="L502" s="4">
        <v>12</v>
      </c>
      <c r="M502" s="4">
        <v>3</v>
      </c>
      <c r="N502" s="4" t="s">
        <v>3</v>
      </c>
      <c r="O502" s="4">
        <v>2</v>
      </c>
      <c r="P502" s="4"/>
      <c r="Q502" s="4"/>
      <c r="R502" s="4"/>
      <c r="S502" s="4"/>
      <c r="T502" s="4"/>
      <c r="U502" s="4"/>
      <c r="V502" s="4"/>
      <c r="W502" s="4"/>
    </row>
    <row r="503" spans="1:23" x14ac:dyDescent="0.2">
      <c r="A503" s="4">
        <v>50</v>
      </c>
      <c r="B503" s="4">
        <v>0</v>
      </c>
      <c r="C503" s="4">
        <v>0</v>
      </c>
      <c r="D503" s="4">
        <v>1</v>
      </c>
      <c r="E503" s="4">
        <v>204</v>
      </c>
      <c r="F503" s="4">
        <f>ROUND(Source!R489,O503)</f>
        <v>27.86</v>
      </c>
      <c r="G503" s="4" t="s">
        <v>74</v>
      </c>
      <c r="H503" s="4" t="s">
        <v>75</v>
      </c>
      <c r="I503" s="4"/>
      <c r="J503" s="4"/>
      <c r="K503" s="4">
        <v>204</v>
      </c>
      <c r="L503" s="4">
        <v>13</v>
      </c>
      <c r="M503" s="4">
        <v>3</v>
      </c>
      <c r="N503" s="4" t="s">
        <v>3</v>
      </c>
      <c r="O503" s="4">
        <v>2</v>
      </c>
      <c r="P503" s="4"/>
      <c r="Q503" s="4"/>
      <c r="R503" s="4"/>
      <c r="S503" s="4"/>
      <c r="T503" s="4"/>
      <c r="U503" s="4"/>
      <c r="V503" s="4"/>
      <c r="W503" s="4"/>
    </row>
    <row r="504" spans="1:23" x14ac:dyDescent="0.2">
      <c r="A504" s="4">
        <v>50</v>
      </c>
      <c r="B504" s="4">
        <v>0</v>
      </c>
      <c r="C504" s="4">
        <v>0</v>
      </c>
      <c r="D504" s="4">
        <v>1</v>
      </c>
      <c r="E504" s="4">
        <v>205</v>
      </c>
      <c r="F504" s="4">
        <f>ROUND(Source!S489,O504)</f>
        <v>24424.84</v>
      </c>
      <c r="G504" s="4" t="s">
        <v>76</v>
      </c>
      <c r="H504" s="4" t="s">
        <v>77</v>
      </c>
      <c r="I504" s="4"/>
      <c r="J504" s="4"/>
      <c r="K504" s="4">
        <v>205</v>
      </c>
      <c r="L504" s="4">
        <v>14</v>
      </c>
      <c r="M504" s="4">
        <v>3</v>
      </c>
      <c r="N504" s="4" t="s">
        <v>3</v>
      </c>
      <c r="O504" s="4">
        <v>2</v>
      </c>
      <c r="P504" s="4"/>
      <c r="Q504" s="4"/>
      <c r="R504" s="4"/>
      <c r="S504" s="4"/>
      <c r="T504" s="4"/>
      <c r="U504" s="4"/>
      <c r="V504" s="4"/>
      <c r="W504" s="4"/>
    </row>
    <row r="505" spans="1:23" x14ac:dyDescent="0.2">
      <c r="A505" s="4">
        <v>50</v>
      </c>
      <c r="B505" s="4">
        <v>0</v>
      </c>
      <c r="C505" s="4">
        <v>0</v>
      </c>
      <c r="D505" s="4">
        <v>1</v>
      </c>
      <c r="E505" s="4">
        <v>232</v>
      </c>
      <c r="F505" s="4">
        <f>ROUND(Source!BC489,O505)</f>
        <v>0</v>
      </c>
      <c r="G505" s="4" t="s">
        <v>78</v>
      </c>
      <c r="H505" s="4" t="s">
        <v>79</v>
      </c>
      <c r="I505" s="4"/>
      <c r="J505" s="4"/>
      <c r="K505" s="4">
        <v>232</v>
      </c>
      <c r="L505" s="4">
        <v>15</v>
      </c>
      <c r="M505" s="4">
        <v>3</v>
      </c>
      <c r="N505" s="4" t="s">
        <v>3</v>
      </c>
      <c r="O505" s="4">
        <v>2</v>
      </c>
      <c r="P505" s="4"/>
      <c r="Q505" s="4"/>
      <c r="R505" s="4"/>
      <c r="S505" s="4"/>
      <c r="T505" s="4"/>
      <c r="U505" s="4"/>
      <c r="V505" s="4"/>
      <c r="W505" s="4"/>
    </row>
    <row r="506" spans="1:23" x14ac:dyDescent="0.2">
      <c r="A506" s="4">
        <v>50</v>
      </c>
      <c r="B506" s="4">
        <v>0</v>
      </c>
      <c r="C506" s="4">
        <v>0</v>
      </c>
      <c r="D506" s="4">
        <v>1</v>
      </c>
      <c r="E506" s="4">
        <v>214</v>
      </c>
      <c r="F506" s="4">
        <f>ROUND(Source!AS489,O506)</f>
        <v>0</v>
      </c>
      <c r="G506" s="4" t="s">
        <v>80</v>
      </c>
      <c r="H506" s="4" t="s">
        <v>81</v>
      </c>
      <c r="I506" s="4"/>
      <c r="J506" s="4"/>
      <c r="K506" s="4">
        <v>214</v>
      </c>
      <c r="L506" s="4">
        <v>16</v>
      </c>
      <c r="M506" s="4">
        <v>3</v>
      </c>
      <c r="N506" s="4" t="s">
        <v>3</v>
      </c>
      <c r="O506" s="4">
        <v>2</v>
      </c>
      <c r="P506" s="4"/>
      <c r="Q506" s="4"/>
      <c r="R506" s="4"/>
      <c r="S506" s="4"/>
      <c r="T506" s="4"/>
      <c r="U506" s="4"/>
      <c r="V506" s="4"/>
      <c r="W506" s="4"/>
    </row>
    <row r="507" spans="1:23" x14ac:dyDescent="0.2">
      <c r="A507" s="4">
        <v>50</v>
      </c>
      <c r="B507" s="4">
        <v>0</v>
      </c>
      <c r="C507" s="4">
        <v>0</v>
      </c>
      <c r="D507" s="4">
        <v>1</v>
      </c>
      <c r="E507" s="4">
        <v>215</v>
      </c>
      <c r="F507" s="4">
        <f>ROUND(Source!AT489,O507)</f>
        <v>0</v>
      </c>
      <c r="G507" s="4" t="s">
        <v>82</v>
      </c>
      <c r="H507" s="4" t="s">
        <v>83</v>
      </c>
      <c r="I507" s="4"/>
      <c r="J507" s="4"/>
      <c r="K507" s="4">
        <v>215</v>
      </c>
      <c r="L507" s="4">
        <v>17</v>
      </c>
      <c r="M507" s="4">
        <v>3</v>
      </c>
      <c r="N507" s="4" t="s">
        <v>3</v>
      </c>
      <c r="O507" s="4">
        <v>2</v>
      </c>
      <c r="P507" s="4"/>
      <c r="Q507" s="4"/>
      <c r="R507" s="4"/>
      <c r="S507" s="4"/>
      <c r="T507" s="4"/>
      <c r="U507" s="4"/>
      <c r="V507" s="4"/>
      <c r="W507" s="4"/>
    </row>
    <row r="508" spans="1:23" x14ac:dyDescent="0.2">
      <c r="A508" s="4">
        <v>50</v>
      </c>
      <c r="B508" s="4">
        <v>0</v>
      </c>
      <c r="C508" s="4">
        <v>0</v>
      </c>
      <c r="D508" s="4">
        <v>1</v>
      </c>
      <c r="E508" s="4">
        <v>217</v>
      </c>
      <c r="F508" s="4">
        <f>ROUND(Source!AU489,O508)</f>
        <v>44634.45</v>
      </c>
      <c r="G508" s="4" t="s">
        <v>84</v>
      </c>
      <c r="H508" s="4" t="s">
        <v>85</v>
      </c>
      <c r="I508" s="4"/>
      <c r="J508" s="4"/>
      <c r="K508" s="4">
        <v>217</v>
      </c>
      <c r="L508" s="4">
        <v>18</v>
      </c>
      <c r="M508" s="4">
        <v>3</v>
      </c>
      <c r="N508" s="4" t="s">
        <v>3</v>
      </c>
      <c r="O508" s="4">
        <v>2</v>
      </c>
      <c r="P508" s="4"/>
      <c r="Q508" s="4"/>
      <c r="R508" s="4"/>
      <c r="S508" s="4"/>
      <c r="T508" s="4"/>
      <c r="U508" s="4"/>
      <c r="V508" s="4"/>
      <c r="W508" s="4"/>
    </row>
    <row r="509" spans="1:23" x14ac:dyDescent="0.2">
      <c r="A509" s="4">
        <v>50</v>
      </c>
      <c r="B509" s="4">
        <v>0</v>
      </c>
      <c r="C509" s="4">
        <v>0</v>
      </c>
      <c r="D509" s="4">
        <v>1</v>
      </c>
      <c r="E509" s="4">
        <v>230</v>
      </c>
      <c r="F509" s="4">
        <f>ROUND(Source!BA489,O509)</f>
        <v>0</v>
      </c>
      <c r="G509" s="4" t="s">
        <v>86</v>
      </c>
      <c r="H509" s="4" t="s">
        <v>87</v>
      </c>
      <c r="I509" s="4"/>
      <c r="J509" s="4"/>
      <c r="K509" s="4">
        <v>230</v>
      </c>
      <c r="L509" s="4">
        <v>19</v>
      </c>
      <c r="M509" s="4">
        <v>3</v>
      </c>
      <c r="N509" s="4" t="s">
        <v>3</v>
      </c>
      <c r="O509" s="4">
        <v>2</v>
      </c>
      <c r="P509" s="4"/>
      <c r="Q509" s="4"/>
      <c r="R509" s="4"/>
      <c r="S509" s="4"/>
      <c r="T509" s="4"/>
      <c r="U509" s="4"/>
      <c r="V509" s="4"/>
      <c r="W509" s="4"/>
    </row>
    <row r="510" spans="1:23" x14ac:dyDescent="0.2">
      <c r="A510" s="4">
        <v>50</v>
      </c>
      <c r="B510" s="4">
        <v>0</v>
      </c>
      <c r="C510" s="4">
        <v>0</v>
      </c>
      <c r="D510" s="4">
        <v>1</v>
      </c>
      <c r="E510" s="4">
        <v>206</v>
      </c>
      <c r="F510" s="4">
        <f>ROUND(Source!T489,O510)</f>
        <v>0</v>
      </c>
      <c r="G510" s="4" t="s">
        <v>88</v>
      </c>
      <c r="H510" s="4" t="s">
        <v>89</v>
      </c>
      <c r="I510" s="4"/>
      <c r="J510" s="4"/>
      <c r="K510" s="4">
        <v>206</v>
      </c>
      <c r="L510" s="4">
        <v>20</v>
      </c>
      <c r="M510" s="4">
        <v>3</v>
      </c>
      <c r="N510" s="4" t="s">
        <v>3</v>
      </c>
      <c r="O510" s="4">
        <v>2</v>
      </c>
      <c r="P510" s="4"/>
      <c r="Q510" s="4"/>
      <c r="R510" s="4"/>
      <c r="S510" s="4"/>
      <c r="T510" s="4"/>
      <c r="U510" s="4"/>
      <c r="V510" s="4"/>
      <c r="W510" s="4"/>
    </row>
    <row r="511" spans="1:23" x14ac:dyDescent="0.2">
      <c r="A511" s="4">
        <v>50</v>
      </c>
      <c r="B511" s="4">
        <v>0</v>
      </c>
      <c r="C511" s="4">
        <v>0</v>
      </c>
      <c r="D511" s="4">
        <v>1</v>
      </c>
      <c r="E511" s="4">
        <v>207</v>
      </c>
      <c r="F511" s="4">
        <f>Source!U489</f>
        <v>94.916399999999996</v>
      </c>
      <c r="G511" s="4" t="s">
        <v>90</v>
      </c>
      <c r="H511" s="4" t="s">
        <v>91</v>
      </c>
      <c r="I511" s="4"/>
      <c r="J511" s="4"/>
      <c r="K511" s="4">
        <v>207</v>
      </c>
      <c r="L511" s="4">
        <v>21</v>
      </c>
      <c r="M511" s="4">
        <v>3</v>
      </c>
      <c r="N511" s="4" t="s">
        <v>3</v>
      </c>
      <c r="O511" s="4">
        <v>-1</v>
      </c>
      <c r="P511" s="4"/>
      <c r="Q511" s="4"/>
      <c r="R511" s="4"/>
      <c r="S511" s="4"/>
      <c r="T511" s="4"/>
      <c r="U511" s="4"/>
      <c r="V511" s="4"/>
      <c r="W511" s="4"/>
    </row>
    <row r="512" spans="1:23" x14ac:dyDescent="0.2">
      <c r="A512" s="4">
        <v>50</v>
      </c>
      <c r="B512" s="4">
        <v>0</v>
      </c>
      <c r="C512" s="4">
        <v>0</v>
      </c>
      <c r="D512" s="4">
        <v>1</v>
      </c>
      <c r="E512" s="4">
        <v>208</v>
      </c>
      <c r="F512" s="4">
        <f>Source!V489</f>
        <v>0</v>
      </c>
      <c r="G512" s="4" t="s">
        <v>92</v>
      </c>
      <c r="H512" s="4" t="s">
        <v>93</v>
      </c>
      <c r="I512" s="4"/>
      <c r="J512" s="4"/>
      <c r="K512" s="4">
        <v>208</v>
      </c>
      <c r="L512" s="4">
        <v>22</v>
      </c>
      <c r="M512" s="4">
        <v>3</v>
      </c>
      <c r="N512" s="4" t="s">
        <v>3</v>
      </c>
      <c r="O512" s="4">
        <v>-1</v>
      </c>
      <c r="P512" s="4"/>
      <c r="Q512" s="4"/>
      <c r="R512" s="4"/>
      <c r="S512" s="4"/>
      <c r="T512" s="4"/>
      <c r="U512" s="4"/>
      <c r="V512" s="4"/>
      <c r="W512" s="4"/>
    </row>
    <row r="513" spans="1:245" x14ac:dyDescent="0.2">
      <c r="A513" s="4">
        <v>50</v>
      </c>
      <c r="B513" s="4">
        <v>0</v>
      </c>
      <c r="C513" s="4">
        <v>0</v>
      </c>
      <c r="D513" s="4">
        <v>1</v>
      </c>
      <c r="E513" s="4">
        <v>209</v>
      </c>
      <c r="F513" s="4">
        <f>ROUND(Source!W489,O513)</f>
        <v>0</v>
      </c>
      <c r="G513" s="4" t="s">
        <v>94</v>
      </c>
      <c r="H513" s="4" t="s">
        <v>95</v>
      </c>
      <c r="I513" s="4"/>
      <c r="J513" s="4"/>
      <c r="K513" s="4">
        <v>209</v>
      </c>
      <c r="L513" s="4">
        <v>23</v>
      </c>
      <c r="M513" s="4">
        <v>3</v>
      </c>
      <c r="N513" s="4" t="s">
        <v>3</v>
      </c>
      <c r="O513" s="4">
        <v>2</v>
      </c>
      <c r="P513" s="4"/>
      <c r="Q513" s="4"/>
      <c r="R513" s="4"/>
      <c r="S513" s="4"/>
      <c r="T513" s="4"/>
      <c r="U513" s="4"/>
      <c r="V513" s="4"/>
      <c r="W513" s="4"/>
    </row>
    <row r="514" spans="1:245" x14ac:dyDescent="0.2">
      <c r="A514" s="4">
        <v>50</v>
      </c>
      <c r="B514" s="4">
        <v>0</v>
      </c>
      <c r="C514" s="4">
        <v>0</v>
      </c>
      <c r="D514" s="4">
        <v>1</v>
      </c>
      <c r="E514" s="4">
        <v>233</v>
      </c>
      <c r="F514" s="4">
        <f>ROUND(Source!BD489,O514)</f>
        <v>0</v>
      </c>
      <c r="G514" s="4" t="s">
        <v>96</v>
      </c>
      <c r="H514" s="4" t="s">
        <v>97</v>
      </c>
      <c r="I514" s="4"/>
      <c r="J514" s="4"/>
      <c r="K514" s="4">
        <v>233</v>
      </c>
      <c r="L514" s="4">
        <v>24</v>
      </c>
      <c r="M514" s="4">
        <v>3</v>
      </c>
      <c r="N514" s="4" t="s">
        <v>3</v>
      </c>
      <c r="O514" s="4">
        <v>2</v>
      </c>
      <c r="P514" s="4"/>
      <c r="Q514" s="4"/>
      <c r="R514" s="4"/>
      <c r="S514" s="4"/>
      <c r="T514" s="4"/>
      <c r="U514" s="4"/>
      <c r="V514" s="4"/>
      <c r="W514" s="4"/>
    </row>
    <row r="515" spans="1:245" x14ac:dyDescent="0.2">
      <c r="A515" s="4">
        <v>50</v>
      </c>
      <c r="B515" s="4">
        <v>0</v>
      </c>
      <c r="C515" s="4">
        <v>0</v>
      </c>
      <c r="D515" s="4">
        <v>1</v>
      </c>
      <c r="E515" s="4">
        <v>210</v>
      </c>
      <c r="F515" s="4">
        <f>ROUND(Source!X489,O515)</f>
        <v>17097.39</v>
      </c>
      <c r="G515" s="4" t="s">
        <v>98</v>
      </c>
      <c r="H515" s="4" t="s">
        <v>99</v>
      </c>
      <c r="I515" s="4"/>
      <c r="J515" s="4"/>
      <c r="K515" s="4">
        <v>210</v>
      </c>
      <c r="L515" s="4">
        <v>25</v>
      </c>
      <c r="M515" s="4">
        <v>3</v>
      </c>
      <c r="N515" s="4" t="s">
        <v>3</v>
      </c>
      <c r="O515" s="4">
        <v>2</v>
      </c>
      <c r="P515" s="4"/>
      <c r="Q515" s="4"/>
      <c r="R515" s="4"/>
      <c r="S515" s="4"/>
      <c r="T515" s="4"/>
      <c r="U515" s="4"/>
      <c r="V515" s="4"/>
      <c r="W515" s="4"/>
    </row>
    <row r="516" spans="1:245" x14ac:dyDescent="0.2">
      <c r="A516" s="4">
        <v>50</v>
      </c>
      <c r="B516" s="4">
        <v>0</v>
      </c>
      <c r="C516" s="4">
        <v>0</v>
      </c>
      <c r="D516" s="4">
        <v>1</v>
      </c>
      <c r="E516" s="4">
        <v>211</v>
      </c>
      <c r="F516" s="4">
        <f>ROUND(Source!Y489,O516)</f>
        <v>2442.48</v>
      </c>
      <c r="G516" s="4" t="s">
        <v>100</v>
      </c>
      <c r="H516" s="4" t="s">
        <v>101</v>
      </c>
      <c r="I516" s="4"/>
      <c r="J516" s="4"/>
      <c r="K516" s="4">
        <v>211</v>
      </c>
      <c r="L516" s="4">
        <v>26</v>
      </c>
      <c r="M516" s="4">
        <v>3</v>
      </c>
      <c r="N516" s="4" t="s">
        <v>3</v>
      </c>
      <c r="O516" s="4">
        <v>2</v>
      </c>
      <c r="P516" s="4"/>
      <c r="Q516" s="4"/>
      <c r="R516" s="4"/>
      <c r="S516" s="4"/>
      <c r="T516" s="4"/>
      <c r="U516" s="4"/>
      <c r="V516" s="4"/>
      <c r="W516" s="4"/>
    </row>
    <row r="517" spans="1:245" x14ac:dyDescent="0.2">
      <c r="A517" s="4">
        <v>50</v>
      </c>
      <c r="B517" s="4">
        <v>0</v>
      </c>
      <c r="C517" s="4">
        <v>0</v>
      </c>
      <c r="D517" s="4">
        <v>1</v>
      </c>
      <c r="E517" s="4">
        <v>224</v>
      </c>
      <c r="F517" s="4">
        <f>ROUND(Source!AR489,O517)</f>
        <v>44634.45</v>
      </c>
      <c r="G517" s="4" t="s">
        <v>102</v>
      </c>
      <c r="H517" s="4" t="s">
        <v>103</v>
      </c>
      <c r="I517" s="4"/>
      <c r="J517" s="4"/>
      <c r="K517" s="4">
        <v>224</v>
      </c>
      <c r="L517" s="4">
        <v>27</v>
      </c>
      <c r="M517" s="4">
        <v>3</v>
      </c>
      <c r="N517" s="4" t="s">
        <v>3</v>
      </c>
      <c r="O517" s="4">
        <v>2</v>
      </c>
      <c r="P517" s="4"/>
      <c r="Q517" s="4"/>
      <c r="R517" s="4"/>
      <c r="S517" s="4"/>
      <c r="T517" s="4"/>
      <c r="U517" s="4"/>
      <c r="V517" s="4"/>
      <c r="W517" s="4"/>
    </row>
    <row r="519" spans="1:245" x14ac:dyDescent="0.2">
      <c r="A519" s="1">
        <v>5</v>
      </c>
      <c r="B519" s="1">
        <v>1</v>
      </c>
      <c r="C519" s="1"/>
      <c r="D519" s="1">
        <f>ROW(A538)</f>
        <v>538</v>
      </c>
      <c r="E519" s="1"/>
      <c r="F519" s="1" t="s">
        <v>14</v>
      </c>
      <c r="G519" s="1" t="s">
        <v>104</v>
      </c>
      <c r="H519" s="1" t="s">
        <v>3</v>
      </c>
      <c r="I519" s="1">
        <v>0</v>
      </c>
      <c r="J519" s="1"/>
      <c r="K519" s="1">
        <v>0</v>
      </c>
      <c r="L519" s="1"/>
      <c r="M519" s="1"/>
      <c r="N519" s="1"/>
      <c r="O519" s="1"/>
      <c r="P519" s="1"/>
      <c r="Q519" s="1"/>
      <c r="R519" s="1"/>
      <c r="S519" s="1"/>
      <c r="T519" s="1"/>
      <c r="U519" s="1" t="s">
        <v>3</v>
      </c>
      <c r="V519" s="1">
        <v>0</v>
      </c>
      <c r="W519" s="1"/>
      <c r="X519" s="1"/>
      <c r="Y519" s="1"/>
      <c r="Z519" s="1"/>
      <c r="AA519" s="1"/>
      <c r="AB519" s="1" t="s">
        <v>3</v>
      </c>
      <c r="AC519" s="1" t="s">
        <v>3</v>
      </c>
      <c r="AD519" s="1" t="s">
        <v>3</v>
      </c>
      <c r="AE519" s="1" t="s">
        <v>3</v>
      </c>
      <c r="AF519" s="1" t="s">
        <v>3</v>
      </c>
      <c r="AG519" s="1" t="s">
        <v>3</v>
      </c>
      <c r="AH519" s="1"/>
      <c r="AI519" s="1"/>
      <c r="AJ519" s="1"/>
      <c r="AK519" s="1"/>
      <c r="AL519" s="1"/>
      <c r="AM519" s="1"/>
      <c r="AN519" s="1"/>
      <c r="AO519" s="1"/>
      <c r="AP519" s="1" t="s">
        <v>3</v>
      </c>
      <c r="AQ519" s="1" t="s">
        <v>3</v>
      </c>
      <c r="AR519" s="1" t="s">
        <v>3</v>
      </c>
      <c r="AS519" s="1"/>
      <c r="AT519" s="1"/>
      <c r="AU519" s="1"/>
      <c r="AV519" s="1"/>
      <c r="AW519" s="1"/>
      <c r="AX519" s="1"/>
      <c r="AY519" s="1"/>
      <c r="AZ519" s="1" t="s">
        <v>3</v>
      </c>
      <c r="BA519" s="1"/>
      <c r="BB519" s="1" t="s">
        <v>3</v>
      </c>
      <c r="BC519" s="1" t="s">
        <v>3</v>
      </c>
      <c r="BD519" s="1" t="s">
        <v>3</v>
      </c>
      <c r="BE519" s="1" t="s">
        <v>3</v>
      </c>
      <c r="BF519" s="1" t="s">
        <v>3</v>
      </c>
      <c r="BG519" s="1" t="s">
        <v>3</v>
      </c>
      <c r="BH519" s="1" t="s">
        <v>3</v>
      </c>
      <c r="BI519" s="1" t="s">
        <v>3</v>
      </c>
      <c r="BJ519" s="1" t="s">
        <v>3</v>
      </c>
      <c r="BK519" s="1" t="s">
        <v>3</v>
      </c>
      <c r="BL519" s="1" t="s">
        <v>3</v>
      </c>
      <c r="BM519" s="1" t="s">
        <v>3</v>
      </c>
      <c r="BN519" s="1" t="s">
        <v>3</v>
      </c>
      <c r="BO519" s="1" t="s">
        <v>3</v>
      </c>
      <c r="BP519" s="1" t="s">
        <v>3</v>
      </c>
      <c r="BQ519" s="1"/>
      <c r="BR519" s="1"/>
      <c r="BS519" s="1"/>
      <c r="BT519" s="1"/>
      <c r="BU519" s="1"/>
      <c r="BV519" s="1"/>
      <c r="BW519" s="1"/>
      <c r="BX519" s="1">
        <v>0</v>
      </c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>
        <v>0</v>
      </c>
    </row>
    <row r="521" spans="1:245" x14ac:dyDescent="0.2">
      <c r="A521" s="2">
        <v>52</v>
      </c>
      <c r="B521" s="2">
        <f t="shared" ref="B521:G521" si="257">B538</f>
        <v>1</v>
      </c>
      <c r="C521" s="2">
        <f t="shared" si="257"/>
        <v>5</v>
      </c>
      <c r="D521" s="2">
        <f t="shared" si="257"/>
        <v>519</v>
      </c>
      <c r="E521" s="2">
        <f t="shared" si="257"/>
        <v>0</v>
      </c>
      <c r="F521" s="2" t="str">
        <f t="shared" si="257"/>
        <v>Новый подраздел</v>
      </c>
      <c r="G521" s="2" t="str">
        <f t="shared" si="257"/>
        <v>Строительные работы</v>
      </c>
      <c r="H521" s="2"/>
      <c r="I521" s="2"/>
      <c r="J521" s="2"/>
      <c r="K521" s="2"/>
      <c r="L521" s="2"/>
      <c r="M521" s="2"/>
      <c r="N521" s="2"/>
      <c r="O521" s="2">
        <f t="shared" ref="O521:AT521" si="258">O538</f>
        <v>1515429.5</v>
      </c>
      <c r="P521" s="2">
        <f t="shared" si="258"/>
        <v>721561.08</v>
      </c>
      <c r="Q521" s="2">
        <f t="shared" si="258"/>
        <v>231024.34</v>
      </c>
      <c r="R521" s="2">
        <f t="shared" si="258"/>
        <v>145740.57</v>
      </c>
      <c r="S521" s="2">
        <f t="shared" si="258"/>
        <v>562844.07999999996</v>
      </c>
      <c r="T521" s="2">
        <f t="shared" si="258"/>
        <v>0</v>
      </c>
      <c r="U521" s="2">
        <f t="shared" si="258"/>
        <v>2265.8260000000005</v>
      </c>
      <c r="V521" s="2">
        <f t="shared" si="258"/>
        <v>0</v>
      </c>
      <c r="W521" s="2">
        <f t="shared" si="258"/>
        <v>0</v>
      </c>
      <c r="X521" s="2">
        <f t="shared" si="258"/>
        <v>393990.85</v>
      </c>
      <c r="Y521" s="2">
        <f t="shared" si="258"/>
        <v>56284.42</v>
      </c>
      <c r="Z521" s="2">
        <f t="shared" si="258"/>
        <v>0</v>
      </c>
      <c r="AA521" s="2">
        <f t="shared" si="258"/>
        <v>0</v>
      </c>
      <c r="AB521" s="2">
        <f t="shared" si="258"/>
        <v>1515429.5</v>
      </c>
      <c r="AC521" s="2">
        <f t="shared" si="258"/>
        <v>721561.08</v>
      </c>
      <c r="AD521" s="2">
        <f t="shared" si="258"/>
        <v>231024.34</v>
      </c>
      <c r="AE521" s="2">
        <f t="shared" si="258"/>
        <v>145740.57</v>
      </c>
      <c r="AF521" s="2">
        <f t="shared" si="258"/>
        <v>562844.07999999996</v>
      </c>
      <c r="AG521" s="2">
        <f t="shared" si="258"/>
        <v>0</v>
      </c>
      <c r="AH521" s="2">
        <f t="shared" si="258"/>
        <v>2265.8260000000005</v>
      </c>
      <c r="AI521" s="2">
        <f t="shared" si="258"/>
        <v>0</v>
      </c>
      <c r="AJ521" s="2">
        <f t="shared" si="258"/>
        <v>0</v>
      </c>
      <c r="AK521" s="2">
        <f t="shared" si="258"/>
        <v>393990.85</v>
      </c>
      <c r="AL521" s="2">
        <f t="shared" si="258"/>
        <v>56284.42</v>
      </c>
      <c r="AM521" s="2">
        <f t="shared" si="258"/>
        <v>0</v>
      </c>
      <c r="AN521" s="2">
        <f t="shared" si="258"/>
        <v>0</v>
      </c>
      <c r="AO521" s="2">
        <f t="shared" si="258"/>
        <v>0</v>
      </c>
      <c r="AP521" s="2">
        <f t="shared" si="258"/>
        <v>0</v>
      </c>
      <c r="AQ521" s="2">
        <f t="shared" si="258"/>
        <v>0</v>
      </c>
      <c r="AR521" s="2">
        <f t="shared" si="258"/>
        <v>2123104.58</v>
      </c>
      <c r="AS521" s="2">
        <f t="shared" si="258"/>
        <v>0</v>
      </c>
      <c r="AT521" s="2">
        <f t="shared" si="258"/>
        <v>0</v>
      </c>
      <c r="AU521" s="2">
        <f t="shared" ref="AU521:BZ521" si="259">AU538</f>
        <v>2123104.58</v>
      </c>
      <c r="AV521" s="2">
        <f t="shared" si="259"/>
        <v>721561.08</v>
      </c>
      <c r="AW521" s="2">
        <f t="shared" si="259"/>
        <v>721561.08</v>
      </c>
      <c r="AX521" s="2">
        <f t="shared" si="259"/>
        <v>0</v>
      </c>
      <c r="AY521" s="2">
        <f t="shared" si="259"/>
        <v>721561.08</v>
      </c>
      <c r="AZ521" s="2">
        <f t="shared" si="259"/>
        <v>0</v>
      </c>
      <c r="BA521" s="2">
        <f t="shared" si="259"/>
        <v>0</v>
      </c>
      <c r="BB521" s="2">
        <f t="shared" si="259"/>
        <v>0</v>
      </c>
      <c r="BC521" s="2">
        <f t="shared" si="259"/>
        <v>0</v>
      </c>
      <c r="BD521" s="2">
        <f t="shared" si="259"/>
        <v>0</v>
      </c>
      <c r="BE521" s="2">
        <f t="shared" si="259"/>
        <v>0</v>
      </c>
      <c r="BF521" s="2">
        <f t="shared" si="259"/>
        <v>0</v>
      </c>
      <c r="BG521" s="2">
        <f t="shared" si="259"/>
        <v>0</v>
      </c>
      <c r="BH521" s="2">
        <f t="shared" si="259"/>
        <v>0</v>
      </c>
      <c r="BI521" s="2">
        <f t="shared" si="259"/>
        <v>0</v>
      </c>
      <c r="BJ521" s="2">
        <f t="shared" si="259"/>
        <v>0</v>
      </c>
      <c r="BK521" s="2">
        <f t="shared" si="259"/>
        <v>0</v>
      </c>
      <c r="BL521" s="2">
        <f t="shared" si="259"/>
        <v>0</v>
      </c>
      <c r="BM521" s="2">
        <f t="shared" si="259"/>
        <v>0</v>
      </c>
      <c r="BN521" s="2">
        <f t="shared" si="259"/>
        <v>0</v>
      </c>
      <c r="BO521" s="2">
        <f t="shared" si="259"/>
        <v>0</v>
      </c>
      <c r="BP521" s="2">
        <f t="shared" si="259"/>
        <v>0</v>
      </c>
      <c r="BQ521" s="2">
        <f t="shared" si="259"/>
        <v>0</v>
      </c>
      <c r="BR521" s="2">
        <f t="shared" si="259"/>
        <v>0</v>
      </c>
      <c r="BS521" s="2">
        <f t="shared" si="259"/>
        <v>0</v>
      </c>
      <c r="BT521" s="2">
        <f t="shared" si="259"/>
        <v>0</v>
      </c>
      <c r="BU521" s="2">
        <f t="shared" si="259"/>
        <v>0</v>
      </c>
      <c r="BV521" s="2">
        <f t="shared" si="259"/>
        <v>0</v>
      </c>
      <c r="BW521" s="2">
        <f t="shared" si="259"/>
        <v>0</v>
      </c>
      <c r="BX521" s="2">
        <f t="shared" si="259"/>
        <v>0</v>
      </c>
      <c r="BY521" s="2">
        <f t="shared" si="259"/>
        <v>0</v>
      </c>
      <c r="BZ521" s="2">
        <f t="shared" si="259"/>
        <v>0</v>
      </c>
      <c r="CA521" s="2">
        <f t="shared" ref="CA521:DF521" si="260">CA538</f>
        <v>2123104.58</v>
      </c>
      <c r="CB521" s="2">
        <f t="shared" si="260"/>
        <v>0</v>
      </c>
      <c r="CC521" s="2">
        <f t="shared" si="260"/>
        <v>0</v>
      </c>
      <c r="CD521" s="2">
        <f t="shared" si="260"/>
        <v>2123104.58</v>
      </c>
      <c r="CE521" s="2">
        <f t="shared" si="260"/>
        <v>721561.08</v>
      </c>
      <c r="CF521" s="2">
        <f t="shared" si="260"/>
        <v>721561.08</v>
      </c>
      <c r="CG521" s="2">
        <f t="shared" si="260"/>
        <v>0</v>
      </c>
      <c r="CH521" s="2">
        <f t="shared" si="260"/>
        <v>721561.08</v>
      </c>
      <c r="CI521" s="2">
        <f t="shared" si="260"/>
        <v>0</v>
      </c>
      <c r="CJ521" s="2">
        <f t="shared" si="260"/>
        <v>0</v>
      </c>
      <c r="CK521" s="2">
        <f t="shared" si="260"/>
        <v>0</v>
      </c>
      <c r="CL521" s="2">
        <f t="shared" si="260"/>
        <v>0</v>
      </c>
      <c r="CM521" s="2">
        <f t="shared" si="260"/>
        <v>0</v>
      </c>
      <c r="CN521" s="2">
        <f t="shared" si="260"/>
        <v>0</v>
      </c>
      <c r="CO521" s="2">
        <f t="shared" si="260"/>
        <v>0</v>
      </c>
      <c r="CP521" s="2">
        <f t="shared" si="260"/>
        <v>0</v>
      </c>
      <c r="CQ521" s="2">
        <f t="shared" si="260"/>
        <v>0</v>
      </c>
      <c r="CR521" s="2">
        <f t="shared" si="260"/>
        <v>0</v>
      </c>
      <c r="CS521" s="2">
        <f t="shared" si="260"/>
        <v>0</v>
      </c>
      <c r="CT521" s="2">
        <f t="shared" si="260"/>
        <v>0</v>
      </c>
      <c r="CU521" s="2">
        <f t="shared" si="260"/>
        <v>0</v>
      </c>
      <c r="CV521" s="2">
        <f t="shared" si="260"/>
        <v>0</v>
      </c>
      <c r="CW521" s="2">
        <f t="shared" si="260"/>
        <v>0</v>
      </c>
      <c r="CX521" s="2">
        <f t="shared" si="260"/>
        <v>0</v>
      </c>
      <c r="CY521" s="2">
        <f t="shared" si="260"/>
        <v>0</v>
      </c>
      <c r="CZ521" s="2">
        <f t="shared" si="260"/>
        <v>0</v>
      </c>
      <c r="DA521" s="2">
        <f t="shared" si="260"/>
        <v>0</v>
      </c>
      <c r="DB521" s="2">
        <f t="shared" si="260"/>
        <v>0</v>
      </c>
      <c r="DC521" s="2">
        <f t="shared" si="260"/>
        <v>0</v>
      </c>
      <c r="DD521" s="2">
        <f t="shared" si="260"/>
        <v>0</v>
      </c>
      <c r="DE521" s="2">
        <f t="shared" si="260"/>
        <v>0</v>
      </c>
      <c r="DF521" s="2">
        <f t="shared" si="260"/>
        <v>0</v>
      </c>
      <c r="DG521" s="3">
        <f t="shared" ref="DG521:EL521" si="261">DG538</f>
        <v>0</v>
      </c>
      <c r="DH521" s="3">
        <f t="shared" si="261"/>
        <v>0</v>
      </c>
      <c r="DI521" s="3">
        <f t="shared" si="261"/>
        <v>0</v>
      </c>
      <c r="DJ521" s="3">
        <f t="shared" si="261"/>
        <v>0</v>
      </c>
      <c r="DK521" s="3">
        <f t="shared" si="261"/>
        <v>0</v>
      </c>
      <c r="DL521" s="3">
        <f t="shared" si="261"/>
        <v>0</v>
      </c>
      <c r="DM521" s="3">
        <f t="shared" si="261"/>
        <v>0</v>
      </c>
      <c r="DN521" s="3">
        <f t="shared" si="261"/>
        <v>0</v>
      </c>
      <c r="DO521" s="3">
        <f t="shared" si="261"/>
        <v>0</v>
      </c>
      <c r="DP521" s="3">
        <f t="shared" si="261"/>
        <v>0</v>
      </c>
      <c r="DQ521" s="3">
        <f t="shared" si="261"/>
        <v>0</v>
      </c>
      <c r="DR521" s="3">
        <f t="shared" si="261"/>
        <v>0</v>
      </c>
      <c r="DS521" s="3">
        <f t="shared" si="261"/>
        <v>0</v>
      </c>
      <c r="DT521" s="3">
        <f t="shared" si="261"/>
        <v>0</v>
      </c>
      <c r="DU521" s="3">
        <f t="shared" si="261"/>
        <v>0</v>
      </c>
      <c r="DV521" s="3">
        <f t="shared" si="261"/>
        <v>0</v>
      </c>
      <c r="DW521" s="3">
        <f t="shared" si="261"/>
        <v>0</v>
      </c>
      <c r="DX521" s="3">
        <f t="shared" si="261"/>
        <v>0</v>
      </c>
      <c r="DY521" s="3">
        <f t="shared" si="261"/>
        <v>0</v>
      </c>
      <c r="DZ521" s="3">
        <f t="shared" si="261"/>
        <v>0</v>
      </c>
      <c r="EA521" s="3">
        <f t="shared" si="261"/>
        <v>0</v>
      </c>
      <c r="EB521" s="3">
        <f t="shared" si="261"/>
        <v>0</v>
      </c>
      <c r="EC521" s="3">
        <f t="shared" si="261"/>
        <v>0</v>
      </c>
      <c r="ED521" s="3">
        <f t="shared" si="261"/>
        <v>0</v>
      </c>
      <c r="EE521" s="3">
        <f t="shared" si="261"/>
        <v>0</v>
      </c>
      <c r="EF521" s="3">
        <f t="shared" si="261"/>
        <v>0</v>
      </c>
      <c r="EG521" s="3">
        <f t="shared" si="261"/>
        <v>0</v>
      </c>
      <c r="EH521" s="3">
        <f t="shared" si="261"/>
        <v>0</v>
      </c>
      <c r="EI521" s="3">
        <f t="shared" si="261"/>
        <v>0</v>
      </c>
      <c r="EJ521" s="3">
        <f t="shared" si="261"/>
        <v>0</v>
      </c>
      <c r="EK521" s="3">
        <f t="shared" si="261"/>
        <v>0</v>
      </c>
      <c r="EL521" s="3">
        <f t="shared" si="261"/>
        <v>0</v>
      </c>
      <c r="EM521" s="3">
        <f t="shared" ref="EM521:FR521" si="262">EM538</f>
        <v>0</v>
      </c>
      <c r="EN521" s="3">
        <f t="shared" si="262"/>
        <v>0</v>
      </c>
      <c r="EO521" s="3">
        <f t="shared" si="262"/>
        <v>0</v>
      </c>
      <c r="EP521" s="3">
        <f t="shared" si="262"/>
        <v>0</v>
      </c>
      <c r="EQ521" s="3">
        <f t="shared" si="262"/>
        <v>0</v>
      </c>
      <c r="ER521" s="3">
        <f t="shared" si="262"/>
        <v>0</v>
      </c>
      <c r="ES521" s="3">
        <f t="shared" si="262"/>
        <v>0</v>
      </c>
      <c r="ET521" s="3">
        <f t="shared" si="262"/>
        <v>0</v>
      </c>
      <c r="EU521" s="3">
        <f t="shared" si="262"/>
        <v>0</v>
      </c>
      <c r="EV521" s="3">
        <f t="shared" si="262"/>
        <v>0</v>
      </c>
      <c r="EW521" s="3">
        <f t="shared" si="262"/>
        <v>0</v>
      </c>
      <c r="EX521" s="3">
        <f t="shared" si="262"/>
        <v>0</v>
      </c>
      <c r="EY521" s="3">
        <f t="shared" si="262"/>
        <v>0</v>
      </c>
      <c r="EZ521" s="3">
        <f t="shared" si="262"/>
        <v>0</v>
      </c>
      <c r="FA521" s="3">
        <f t="shared" si="262"/>
        <v>0</v>
      </c>
      <c r="FB521" s="3">
        <f t="shared" si="262"/>
        <v>0</v>
      </c>
      <c r="FC521" s="3">
        <f t="shared" si="262"/>
        <v>0</v>
      </c>
      <c r="FD521" s="3">
        <f t="shared" si="262"/>
        <v>0</v>
      </c>
      <c r="FE521" s="3">
        <f t="shared" si="262"/>
        <v>0</v>
      </c>
      <c r="FF521" s="3">
        <f t="shared" si="262"/>
        <v>0</v>
      </c>
      <c r="FG521" s="3">
        <f t="shared" si="262"/>
        <v>0</v>
      </c>
      <c r="FH521" s="3">
        <f t="shared" si="262"/>
        <v>0</v>
      </c>
      <c r="FI521" s="3">
        <f t="shared" si="262"/>
        <v>0</v>
      </c>
      <c r="FJ521" s="3">
        <f t="shared" si="262"/>
        <v>0</v>
      </c>
      <c r="FK521" s="3">
        <f t="shared" si="262"/>
        <v>0</v>
      </c>
      <c r="FL521" s="3">
        <f t="shared" si="262"/>
        <v>0</v>
      </c>
      <c r="FM521" s="3">
        <f t="shared" si="262"/>
        <v>0</v>
      </c>
      <c r="FN521" s="3">
        <f t="shared" si="262"/>
        <v>0</v>
      </c>
      <c r="FO521" s="3">
        <f t="shared" si="262"/>
        <v>0</v>
      </c>
      <c r="FP521" s="3">
        <f t="shared" si="262"/>
        <v>0</v>
      </c>
      <c r="FQ521" s="3">
        <f t="shared" si="262"/>
        <v>0</v>
      </c>
      <c r="FR521" s="3">
        <f t="shared" si="262"/>
        <v>0</v>
      </c>
      <c r="FS521" s="3">
        <f t="shared" ref="FS521:GX521" si="263">FS538</f>
        <v>0</v>
      </c>
      <c r="FT521" s="3">
        <f t="shared" si="263"/>
        <v>0</v>
      </c>
      <c r="FU521" s="3">
        <f t="shared" si="263"/>
        <v>0</v>
      </c>
      <c r="FV521" s="3">
        <f t="shared" si="263"/>
        <v>0</v>
      </c>
      <c r="FW521" s="3">
        <f t="shared" si="263"/>
        <v>0</v>
      </c>
      <c r="FX521" s="3">
        <f t="shared" si="263"/>
        <v>0</v>
      </c>
      <c r="FY521" s="3">
        <f t="shared" si="263"/>
        <v>0</v>
      </c>
      <c r="FZ521" s="3">
        <f t="shared" si="263"/>
        <v>0</v>
      </c>
      <c r="GA521" s="3">
        <f t="shared" si="263"/>
        <v>0</v>
      </c>
      <c r="GB521" s="3">
        <f t="shared" si="263"/>
        <v>0</v>
      </c>
      <c r="GC521" s="3">
        <f t="shared" si="263"/>
        <v>0</v>
      </c>
      <c r="GD521" s="3">
        <f t="shared" si="263"/>
        <v>0</v>
      </c>
      <c r="GE521" s="3">
        <f t="shared" si="263"/>
        <v>0</v>
      </c>
      <c r="GF521" s="3">
        <f t="shared" si="263"/>
        <v>0</v>
      </c>
      <c r="GG521" s="3">
        <f t="shared" si="263"/>
        <v>0</v>
      </c>
      <c r="GH521" s="3">
        <f t="shared" si="263"/>
        <v>0</v>
      </c>
      <c r="GI521" s="3">
        <f t="shared" si="263"/>
        <v>0</v>
      </c>
      <c r="GJ521" s="3">
        <f t="shared" si="263"/>
        <v>0</v>
      </c>
      <c r="GK521" s="3">
        <f t="shared" si="263"/>
        <v>0</v>
      </c>
      <c r="GL521" s="3">
        <f t="shared" si="263"/>
        <v>0</v>
      </c>
      <c r="GM521" s="3">
        <f t="shared" si="263"/>
        <v>0</v>
      </c>
      <c r="GN521" s="3">
        <f t="shared" si="263"/>
        <v>0</v>
      </c>
      <c r="GO521" s="3">
        <f t="shared" si="263"/>
        <v>0</v>
      </c>
      <c r="GP521" s="3">
        <f t="shared" si="263"/>
        <v>0</v>
      </c>
      <c r="GQ521" s="3">
        <f t="shared" si="263"/>
        <v>0</v>
      </c>
      <c r="GR521" s="3">
        <f t="shared" si="263"/>
        <v>0</v>
      </c>
      <c r="GS521" s="3">
        <f t="shared" si="263"/>
        <v>0</v>
      </c>
      <c r="GT521" s="3">
        <f t="shared" si="263"/>
        <v>0</v>
      </c>
      <c r="GU521" s="3">
        <f t="shared" si="263"/>
        <v>0</v>
      </c>
      <c r="GV521" s="3">
        <f t="shared" si="263"/>
        <v>0</v>
      </c>
      <c r="GW521" s="3">
        <f t="shared" si="263"/>
        <v>0</v>
      </c>
      <c r="GX521" s="3">
        <f t="shared" si="263"/>
        <v>0</v>
      </c>
    </row>
    <row r="523" spans="1:245" x14ac:dyDescent="0.2">
      <c r="A523">
        <v>17</v>
      </c>
      <c r="B523">
        <v>1</v>
      </c>
      <c r="C523">
        <f>ROW(SmtRes!A263)</f>
        <v>263</v>
      </c>
      <c r="D523">
        <f>ROW(EtalonRes!A234)</f>
        <v>234</v>
      </c>
      <c r="E523" t="s">
        <v>286</v>
      </c>
      <c r="F523" t="s">
        <v>287</v>
      </c>
      <c r="G523" t="s">
        <v>288</v>
      </c>
      <c r="H523" t="s">
        <v>289</v>
      </c>
      <c r="I523">
        <v>452</v>
      </c>
      <c r="J523">
        <v>0</v>
      </c>
      <c r="O523">
        <f t="shared" ref="O523:O535" si="264">ROUND(CP523,2)</f>
        <v>3139926.48</v>
      </c>
      <c r="P523">
        <f t="shared" ref="P523:P535" si="265">ROUND(CQ523*I523,2)</f>
        <v>2570691.2400000002</v>
      </c>
      <c r="Q523">
        <f t="shared" ref="Q523:Q535" si="266">ROUND(CR523*I523,2)</f>
        <v>209850.04</v>
      </c>
      <c r="R523">
        <f t="shared" ref="R523:R535" si="267">ROUND(CS523*I523,2)</f>
        <v>133782.96</v>
      </c>
      <c r="S523">
        <f t="shared" ref="S523:S535" si="268">ROUND(CT523*I523,2)</f>
        <v>359385.2</v>
      </c>
      <c r="T523">
        <f t="shared" ref="T523:T535" si="269">ROUND(CU523*I523,2)</f>
        <v>0</v>
      </c>
      <c r="U523">
        <f t="shared" ref="U523:U535" si="270">CV523*I523</f>
        <v>1342.44</v>
      </c>
      <c r="V523">
        <f t="shared" ref="V523:V535" si="271">CW523*I523</f>
        <v>0</v>
      </c>
      <c r="W523">
        <f t="shared" ref="W523:W535" si="272">ROUND(CX523*I523,2)</f>
        <v>0</v>
      </c>
      <c r="X523">
        <f t="shared" ref="X523:X535" si="273">ROUND(CY523,2)</f>
        <v>251569.64</v>
      </c>
      <c r="Y523">
        <f t="shared" ref="Y523:Y535" si="274">ROUND(CZ523,2)</f>
        <v>35938.519999999997</v>
      </c>
      <c r="AA523">
        <v>38799519</v>
      </c>
      <c r="AB523">
        <f t="shared" ref="AB523:AB535" si="275">ROUND((AC523+AD523+AF523),6)</f>
        <v>6946.74</v>
      </c>
      <c r="AC523">
        <f t="shared" ref="AC523:AC535" si="276">ROUND((ES523),6)</f>
        <v>5687.37</v>
      </c>
      <c r="AD523">
        <f t="shared" ref="AD523:AD535" si="277">ROUND((((ET523)-(EU523))+AE523),6)</f>
        <v>464.27</v>
      </c>
      <c r="AE523">
        <f t="shared" ref="AE523:AE535" si="278">ROUND((EU523),6)</f>
        <v>295.98</v>
      </c>
      <c r="AF523">
        <f t="shared" ref="AF523:AF535" si="279">ROUND((EV523),6)</f>
        <v>795.1</v>
      </c>
      <c r="AG523">
        <f t="shared" ref="AG523:AG535" si="280">ROUND((AP523),6)</f>
        <v>0</v>
      </c>
      <c r="AH523">
        <f t="shared" ref="AH523:AH535" si="281">(EW523)</f>
        <v>2.97</v>
      </c>
      <c r="AI523">
        <f t="shared" ref="AI523:AI535" si="282">(EX523)</f>
        <v>0</v>
      </c>
      <c r="AJ523">
        <f t="shared" ref="AJ523:AJ535" si="283">(AS523)</f>
        <v>0</v>
      </c>
      <c r="AK523">
        <v>6946.74</v>
      </c>
      <c r="AL523">
        <v>5687.37</v>
      </c>
      <c r="AM523">
        <v>464.27</v>
      </c>
      <c r="AN523">
        <v>295.98</v>
      </c>
      <c r="AO523">
        <v>795.1</v>
      </c>
      <c r="AP523">
        <v>0</v>
      </c>
      <c r="AQ523">
        <v>2.97</v>
      </c>
      <c r="AR523">
        <v>0</v>
      </c>
      <c r="AS523">
        <v>0</v>
      </c>
      <c r="AT523">
        <v>70</v>
      </c>
      <c r="AU523">
        <v>10</v>
      </c>
      <c r="AV523">
        <v>1</v>
      </c>
      <c r="AW523">
        <v>1</v>
      </c>
      <c r="AZ523">
        <v>1</v>
      </c>
      <c r="BA523">
        <v>1</v>
      </c>
      <c r="BB523">
        <v>1</v>
      </c>
      <c r="BC523">
        <v>1</v>
      </c>
      <c r="BD523" t="s">
        <v>3</v>
      </c>
      <c r="BE523" t="s">
        <v>3</v>
      </c>
      <c r="BF523" t="s">
        <v>3</v>
      </c>
      <c r="BG523" t="s">
        <v>3</v>
      </c>
      <c r="BH523">
        <v>0</v>
      </c>
      <c r="BI523">
        <v>4</v>
      </c>
      <c r="BJ523" t="s">
        <v>290</v>
      </c>
      <c r="BM523">
        <v>0</v>
      </c>
      <c r="BN523">
        <v>0</v>
      </c>
      <c r="BO523" t="s">
        <v>3</v>
      </c>
      <c r="BP523">
        <v>0</v>
      </c>
      <c r="BQ523">
        <v>1</v>
      </c>
      <c r="BR523">
        <v>0</v>
      </c>
      <c r="BS523">
        <v>1</v>
      </c>
      <c r="BT523">
        <v>1</v>
      </c>
      <c r="BU523">
        <v>1</v>
      </c>
      <c r="BV523">
        <v>1</v>
      </c>
      <c r="BW523">
        <v>1</v>
      </c>
      <c r="BX523">
        <v>1</v>
      </c>
      <c r="BY523" t="s">
        <v>3</v>
      </c>
      <c r="BZ523">
        <v>70</v>
      </c>
      <c r="CA523">
        <v>10</v>
      </c>
      <c r="CE523">
        <v>0</v>
      </c>
      <c r="CF523">
        <v>0</v>
      </c>
      <c r="CG523">
        <v>0</v>
      </c>
      <c r="CM523">
        <v>0</v>
      </c>
      <c r="CN523" t="s">
        <v>3</v>
      </c>
      <c r="CO523">
        <v>0</v>
      </c>
      <c r="CP523">
        <f t="shared" ref="CP523:CP535" si="284">(P523+Q523+S523)</f>
        <v>3139926.4800000004</v>
      </c>
      <c r="CQ523">
        <f t="shared" ref="CQ523:CQ535" si="285">(AC523*BC523*AW523)</f>
        <v>5687.37</v>
      </c>
      <c r="CR523">
        <f t="shared" ref="CR523:CR535" si="286">((((ET523)*BB523-(EU523)*BS523)+AE523*BS523)*AV523)</f>
        <v>464.27</v>
      </c>
      <c r="CS523">
        <f t="shared" ref="CS523:CS535" si="287">(AE523*BS523*AV523)</f>
        <v>295.98</v>
      </c>
      <c r="CT523">
        <f t="shared" ref="CT523:CT535" si="288">(AF523*BA523*AV523)</f>
        <v>795.1</v>
      </c>
      <c r="CU523">
        <f t="shared" ref="CU523:CU535" si="289">AG523</f>
        <v>0</v>
      </c>
      <c r="CV523">
        <f t="shared" ref="CV523:CV535" si="290">(AH523*AV523)</f>
        <v>2.97</v>
      </c>
      <c r="CW523">
        <f t="shared" ref="CW523:CW535" si="291">AI523</f>
        <v>0</v>
      </c>
      <c r="CX523">
        <f t="shared" ref="CX523:CX535" si="292">AJ523</f>
        <v>0</v>
      </c>
      <c r="CY523">
        <f t="shared" ref="CY523:CY535" si="293">((S523*BZ523)/100)</f>
        <v>251569.64</v>
      </c>
      <c r="CZ523">
        <f t="shared" ref="CZ523:CZ535" si="294">((S523*CA523)/100)</f>
        <v>35938.519999999997</v>
      </c>
      <c r="DC523" t="s">
        <v>3</v>
      </c>
      <c r="DD523" t="s">
        <v>3</v>
      </c>
      <c r="DE523" t="s">
        <v>3</v>
      </c>
      <c r="DF523" t="s">
        <v>3</v>
      </c>
      <c r="DG523" t="s">
        <v>3</v>
      </c>
      <c r="DH523" t="s">
        <v>3</v>
      </c>
      <c r="DI523" t="s">
        <v>3</v>
      </c>
      <c r="DJ523" t="s">
        <v>3</v>
      </c>
      <c r="DK523" t="s">
        <v>3</v>
      </c>
      <c r="DL523" t="s">
        <v>3</v>
      </c>
      <c r="DM523" t="s">
        <v>3</v>
      </c>
      <c r="DN523">
        <v>0</v>
      </c>
      <c r="DO523">
        <v>0</v>
      </c>
      <c r="DP523">
        <v>1</v>
      </c>
      <c r="DQ523">
        <v>1</v>
      </c>
      <c r="DU523">
        <v>1005</v>
      </c>
      <c r="DV523" t="s">
        <v>289</v>
      </c>
      <c r="DW523" t="s">
        <v>289</v>
      </c>
      <c r="DX523">
        <v>1</v>
      </c>
      <c r="EE523">
        <v>38447819</v>
      </c>
      <c r="EF523">
        <v>1</v>
      </c>
      <c r="EG523" t="s">
        <v>23</v>
      </c>
      <c r="EH523">
        <v>0</v>
      </c>
      <c r="EI523" t="s">
        <v>3</v>
      </c>
      <c r="EJ523">
        <v>4</v>
      </c>
      <c r="EK523">
        <v>0</v>
      </c>
      <c r="EL523" t="s">
        <v>24</v>
      </c>
      <c r="EM523" t="s">
        <v>25</v>
      </c>
      <c r="EO523" t="s">
        <v>3</v>
      </c>
      <c r="EQ523">
        <v>0</v>
      </c>
      <c r="ER523">
        <v>6946.74</v>
      </c>
      <c r="ES523">
        <v>5687.37</v>
      </c>
      <c r="ET523">
        <v>464.27</v>
      </c>
      <c r="EU523">
        <v>295.98</v>
      </c>
      <c r="EV523">
        <v>795.1</v>
      </c>
      <c r="EW523">
        <v>2.97</v>
      </c>
      <c r="EX523">
        <v>0</v>
      </c>
      <c r="EY523">
        <v>0</v>
      </c>
      <c r="FQ523">
        <v>0</v>
      </c>
      <c r="FR523">
        <f t="shared" ref="FR523:FR535" si="295">ROUND(IF(AND(BH523=3,BI523=3),P523,0),2)</f>
        <v>0</v>
      </c>
      <c r="FS523">
        <v>0</v>
      </c>
      <c r="FX523">
        <v>70</v>
      </c>
      <c r="FY523">
        <v>10</v>
      </c>
      <c r="GA523" t="s">
        <v>3</v>
      </c>
      <c r="GD523">
        <v>0</v>
      </c>
      <c r="GF523">
        <v>-1372426727</v>
      </c>
      <c r="GG523">
        <v>2</v>
      </c>
      <c r="GH523">
        <v>1</v>
      </c>
      <c r="GI523">
        <v>-2</v>
      </c>
      <c r="GJ523">
        <v>0</v>
      </c>
      <c r="GK523">
        <f>ROUND(R523*(R12)/100,2)</f>
        <v>144485.6</v>
      </c>
      <c r="GL523">
        <f t="shared" ref="GL523:GL535" si="296">ROUND(IF(AND(BH523=3,BI523=3,FS523&lt;&gt;0),P523,0),2)</f>
        <v>0</v>
      </c>
      <c r="GM523">
        <f t="shared" ref="GM523:GM535" si="297">ROUND(O523+X523+Y523+GK523,2)+GX523</f>
        <v>3571920.24</v>
      </c>
      <c r="GN523">
        <f t="shared" ref="GN523:GN535" si="298">IF(OR(BI523=0,BI523=1),ROUND(O523+X523+Y523+GK523,2),0)</f>
        <v>0</v>
      </c>
      <c r="GO523">
        <f t="shared" ref="GO523:GO535" si="299">IF(BI523=2,ROUND(O523+X523+Y523+GK523,2),0)</f>
        <v>0</v>
      </c>
      <c r="GP523">
        <f t="shared" ref="GP523:GP535" si="300">IF(BI523=4,ROUND(O523+X523+Y523+GK523,2)+GX523,0)</f>
        <v>3571920.24</v>
      </c>
      <c r="GR523">
        <v>0</v>
      </c>
      <c r="GS523">
        <v>3</v>
      </c>
      <c r="GT523">
        <v>0</v>
      </c>
      <c r="GU523" t="s">
        <v>3</v>
      </c>
      <c r="GV523">
        <f t="shared" ref="GV523:GV535" si="301">ROUND((GT523),6)</f>
        <v>0</v>
      </c>
      <c r="GW523">
        <v>1</v>
      </c>
      <c r="GX523">
        <f t="shared" ref="GX523:GX535" si="302">ROUND(HC523*I523,2)</f>
        <v>0</v>
      </c>
      <c r="HA523">
        <v>0</v>
      </c>
      <c r="HB523">
        <v>0</v>
      </c>
      <c r="HC523">
        <f t="shared" ref="HC523:HC535" si="303">GV523*GW523</f>
        <v>0</v>
      </c>
      <c r="HE523" t="s">
        <v>3</v>
      </c>
      <c r="HF523" t="s">
        <v>3</v>
      </c>
      <c r="IK523">
        <v>0</v>
      </c>
    </row>
    <row r="524" spans="1:245" x14ac:dyDescent="0.2">
      <c r="A524">
        <v>18</v>
      </c>
      <c r="B524">
        <v>1</v>
      </c>
      <c r="C524">
        <v>259</v>
      </c>
      <c r="E524" t="s">
        <v>291</v>
      </c>
      <c r="F524" t="s">
        <v>292</v>
      </c>
      <c r="G524" t="s">
        <v>293</v>
      </c>
      <c r="H524" t="s">
        <v>155</v>
      </c>
      <c r="I524">
        <f>I523*J524</f>
        <v>-67.347999999999999</v>
      </c>
      <c r="J524">
        <v>-0.14899999999999999</v>
      </c>
      <c r="O524">
        <f t="shared" si="264"/>
        <v>-2528078.2400000002</v>
      </c>
      <c r="P524">
        <f t="shared" si="265"/>
        <v>-2528078.2400000002</v>
      </c>
      <c r="Q524">
        <f t="shared" si="266"/>
        <v>0</v>
      </c>
      <c r="R524">
        <f t="shared" si="267"/>
        <v>0</v>
      </c>
      <c r="S524">
        <f t="shared" si="268"/>
        <v>0</v>
      </c>
      <c r="T524">
        <f t="shared" si="269"/>
        <v>0</v>
      </c>
      <c r="U524">
        <f t="shared" si="270"/>
        <v>0</v>
      </c>
      <c r="V524">
        <f t="shared" si="271"/>
        <v>0</v>
      </c>
      <c r="W524">
        <f t="shared" si="272"/>
        <v>0</v>
      </c>
      <c r="X524">
        <f t="shared" si="273"/>
        <v>0</v>
      </c>
      <c r="Y524">
        <f t="shared" si="274"/>
        <v>0</v>
      </c>
      <c r="AA524">
        <v>38799519</v>
      </c>
      <c r="AB524">
        <f t="shared" si="275"/>
        <v>37537.54</v>
      </c>
      <c r="AC524">
        <f t="shared" si="276"/>
        <v>37537.54</v>
      </c>
      <c r="AD524">
        <f t="shared" si="277"/>
        <v>0</v>
      </c>
      <c r="AE524">
        <f t="shared" si="278"/>
        <v>0</v>
      </c>
      <c r="AF524">
        <f t="shared" si="279"/>
        <v>0</v>
      </c>
      <c r="AG524">
        <f t="shared" si="280"/>
        <v>0</v>
      </c>
      <c r="AH524">
        <f t="shared" si="281"/>
        <v>0</v>
      </c>
      <c r="AI524">
        <f t="shared" si="282"/>
        <v>0</v>
      </c>
      <c r="AJ524">
        <f t="shared" si="283"/>
        <v>0</v>
      </c>
      <c r="AK524">
        <v>37537.54</v>
      </c>
      <c r="AL524">
        <v>37537.54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70</v>
      </c>
      <c r="AU524">
        <v>10</v>
      </c>
      <c r="AV524">
        <v>1</v>
      </c>
      <c r="AW524">
        <v>1</v>
      </c>
      <c r="AZ524">
        <v>1</v>
      </c>
      <c r="BA524">
        <v>1</v>
      </c>
      <c r="BB524">
        <v>1</v>
      </c>
      <c r="BC524">
        <v>1</v>
      </c>
      <c r="BD524" t="s">
        <v>3</v>
      </c>
      <c r="BE524" t="s">
        <v>3</v>
      </c>
      <c r="BF524" t="s">
        <v>3</v>
      </c>
      <c r="BG524" t="s">
        <v>3</v>
      </c>
      <c r="BH524">
        <v>3</v>
      </c>
      <c r="BI524">
        <v>4</v>
      </c>
      <c r="BJ524" t="s">
        <v>294</v>
      </c>
      <c r="BM524">
        <v>0</v>
      </c>
      <c r="BN524">
        <v>0</v>
      </c>
      <c r="BO524" t="s">
        <v>3</v>
      </c>
      <c r="BP524">
        <v>0</v>
      </c>
      <c r="BQ524">
        <v>1</v>
      </c>
      <c r="BR524">
        <v>0</v>
      </c>
      <c r="BS524">
        <v>1</v>
      </c>
      <c r="BT524">
        <v>1</v>
      </c>
      <c r="BU524">
        <v>1</v>
      </c>
      <c r="BV524">
        <v>1</v>
      </c>
      <c r="BW524">
        <v>1</v>
      </c>
      <c r="BX524">
        <v>1</v>
      </c>
      <c r="BY524" t="s">
        <v>3</v>
      </c>
      <c r="BZ524">
        <v>70</v>
      </c>
      <c r="CA524">
        <v>10</v>
      </c>
      <c r="CE524">
        <v>0</v>
      </c>
      <c r="CF524">
        <v>0</v>
      </c>
      <c r="CG524">
        <v>0</v>
      </c>
      <c r="CM524">
        <v>0</v>
      </c>
      <c r="CN524" t="s">
        <v>3</v>
      </c>
      <c r="CO524">
        <v>0</v>
      </c>
      <c r="CP524">
        <f t="shared" si="284"/>
        <v>-2528078.2400000002</v>
      </c>
      <c r="CQ524">
        <f t="shared" si="285"/>
        <v>37537.54</v>
      </c>
      <c r="CR524">
        <f t="shared" si="286"/>
        <v>0</v>
      </c>
      <c r="CS524">
        <f t="shared" si="287"/>
        <v>0</v>
      </c>
      <c r="CT524">
        <f t="shared" si="288"/>
        <v>0</v>
      </c>
      <c r="CU524">
        <f t="shared" si="289"/>
        <v>0</v>
      </c>
      <c r="CV524">
        <f t="shared" si="290"/>
        <v>0</v>
      </c>
      <c r="CW524">
        <f t="shared" si="291"/>
        <v>0</v>
      </c>
      <c r="CX524">
        <f t="shared" si="292"/>
        <v>0</v>
      </c>
      <c r="CY524">
        <f t="shared" si="293"/>
        <v>0</v>
      </c>
      <c r="CZ524">
        <f t="shared" si="294"/>
        <v>0</v>
      </c>
      <c r="DC524" t="s">
        <v>3</v>
      </c>
      <c r="DD524" t="s">
        <v>3</v>
      </c>
      <c r="DE524" t="s">
        <v>3</v>
      </c>
      <c r="DF524" t="s">
        <v>3</v>
      </c>
      <c r="DG524" t="s">
        <v>3</v>
      </c>
      <c r="DH524" t="s">
        <v>3</v>
      </c>
      <c r="DI524" t="s">
        <v>3</v>
      </c>
      <c r="DJ524" t="s">
        <v>3</v>
      </c>
      <c r="DK524" t="s">
        <v>3</v>
      </c>
      <c r="DL524" t="s">
        <v>3</v>
      </c>
      <c r="DM524" t="s">
        <v>3</v>
      </c>
      <c r="DN524">
        <v>0</v>
      </c>
      <c r="DO524">
        <v>0</v>
      </c>
      <c r="DP524">
        <v>1</v>
      </c>
      <c r="DQ524">
        <v>1</v>
      </c>
      <c r="DU524">
        <v>1009</v>
      </c>
      <c r="DV524" t="s">
        <v>155</v>
      </c>
      <c r="DW524" t="s">
        <v>155</v>
      </c>
      <c r="DX524">
        <v>1000</v>
      </c>
      <c r="EE524">
        <v>38447819</v>
      </c>
      <c r="EF524">
        <v>1</v>
      </c>
      <c r="EG524" t="s">
        <v>23</v>
      </c>
      <c r="EH524">
        <v>0</v>
      </c>
      <c r="EI524" t="s">
        <v>3</v>
      </c>
      <c r="EJ524">
        <v>4</v>
      </c>
      <c r="EK524">
        <v>0</v>
      </c>
      <c r="EL524" t="s">
        <v>24</v>
      </c>
      <c r="EM524" t="s">
        <v>25</v>
      </c>
      <c r="EO524" t="s">
        <v>3</v>
      </c>
      <c r="EQ524">
        <v>0</v>
      </c>
      <c r="ER524">
        <v>37537.54</v>
      </c>
      <c r="ES524">
        <v>37537.54</v>
      </c>
      <c r="ET524">
        <v>0</v>
      </c>
      <c r="EU524">
        <v>0</v>
      </c>
      <c r="EV524">
        <v>0</v>
      </c>
      <c r="EW524">
        <v>0</v>
      </c>
      <c r="EX524">
        <v>0</v>
      </c>
      <c r="FQ524">
        <v>0</v>
      </c>
      <c r="FR524">
        <f t="shared" si="295"/>
        <v>0</v>
      </c>
      <c r="FS524">
        <v>0</v>
      </c>
      <c r="FX524">
        <v>70</v>
      </c>
      <c r="FY524">
        <v>10</v>
      </c>
      <c r="GA524" t="s">
        <v>3</v>
      </c>
      <c r="GD524">
        <v>0</v>
      </c>
      <c r="GF524">
        <v>609371884</v>
      </c>
      <c r="GG524">
        <v>2</v>
      </c>
      <c r="GH524">
        <v>1</v>
      </c>
      <c r="GI524">
        <v>-2</v>
      </c>
      <c r="GJ524">
        <v>0</v>
      </c>
      <c r="GK524">
        <f>ROUND(R524*(R12)/100,2)</f>
        <v>0</v>
      </c>
      <c r="GL524">
        <f t="shared" si="296"/>
        <v>0</v>
      </c>
      <c r="GM524">
        <f t="shared" si="297"/>
        <v>-2528078.2400000002</v>
      </c>
      <c r="GN524">
        <f t="shared" si="298"/>
        <v>0</v>
      </c>
      <c r="GO524">
        <f t="shared" si="299"/>
        <v>0</v>
      </c>
      <c r="GP524">
        <f t="shared" si="300"/>
        <v>-2528078.2400000002</v>
      </c>
      <c r="GR524">
        <v>0</v>
      </c>
      <c r="GS524">
        <v>3</v>
      </c>
      <c r="GT524">
        <v>0</v>
      </c>
      <c r="GU524" t="s">
        <v>3</v>
      </c>
      <c r="GV524">
        <f t="shared" si="301"/>
        <v>0</v>
      </c>
      <c r="GW524">
        <v>1</v>
      </c>
      <c r="GX524">
        <f t="shared" si="302"/>
        <v>0</v>
      </c>
      <c r="HA524">
        <v>0</v>
      </c>
      <c r="HB524">
        <v>0</v>
      </c>
      <c r="HC524">
        <f t="shared" si="303"/>
        <v>0</v>
      </c>
      <c r="HE524" t="s">
        <v>3</v>
      </c>
      <c r="HF524" t="s">
        <v>3</v>
      </c>
      <c r="IK524">
        <v>0</v>
      </c>
    </row>
    <row r="525" spans="1:245" x14ac:dyDescent="0.2">
      <c r="A525">
        <v>18</v>
      </c>
      <c r="B525">
        <v>1</v>
      </c>
      <c r="C525">
        <v>261</v>
      </c>
      <c r="E525" t="s">
        <v>295</v>
      </c>
      <c r="F525" t="s">
        <v>296</v>
      </c>
      <c r="G525" t="s">
        <v>297</v>
      </c>
      <c r="H525" t="s">
        <v>155</v>
      </c>
      <c r="I525">
        <f>I523*J525</f>
        <v>1.8520000000000001</v>
      </c>
      <c r="J525">
        <v>4.0973451327433628E-3</v>
      </c>
      <c r="O525">
        <f t="shared" si="264"/>
        <v>72431.81</v>
      </c>
      <c r="P525">
        <f t="shared" si="265"/>
        <v>72431.81</v>
      </c>
      <c r="Q525">
        <f t="shared" si="266"/>
        <v>0</v>
      </c>
      <c r="R525">
        <f t="shared" si="267"/>
        <v>0</v>
      </c>
      <c r="S525">
        <f t="shared" si="268"/>
        <v>0</v>
      </c>
      <c r="T525">
        <f t="shared" si="269"/>
        <v>0</v>
      </c>
      <c r="U525">
        <f t="shared" si="270"/>
        <v>0</v>
      </c>
      <c r="V525">
        <f t="shared" si="271"/>
        <v>0</v>
      </c>
      <c r="W525">
        <f t="shared" si="272"/>
        <v>0</v>
      </c>
      <c r="X525">
        <f t="shared" si="273"/>
        <v>0</v>
      </c>
      <c r="Y525">
        <f t="shared" si="274"/>
        <v>0</v>
      </c>
      <c r="AA525">
        <v>38799519</v>
      </c>
      <c r="AB525">
        <f t="shared" si="275"/>
        <v>39110.050000000003</v>
      </c>
      <c r="AC525">
        <f t="shared" si="276"/>
        <v>39110.050000000003</v>
      </c>
      <c r="AD525">
        <f t="shared" si="277"/>
        <v>0</v>
      </c>
      <c r="AE525">
        <f t="shared" si="278"/>
        <v>0</v>
      </c>
      <c r="AF525">
        <f t="shared" si="279"/>
        <v>0</v>
      </c>
      <c r="AG525">
        <f t="shared" si="280"/>
        <v>0</v>
      </c>
      <c r="AH525">
        <f t="shared" si="281"/>
        <v>0</v>
      </c>
      <c r="AI525">
        <f t="shared" si="282"/>
        <v>0</v>
      </c>
      <c r="AJ525">
        <f t="shared" si="283"/>
        <v>0</v>
      </c>
      <c r="AK525">
        <v>39110.050000000003</v>
      </c>
      <c r="AL525">
        <v>39110.050000000003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70</v>
      </c>
      <c r="AU525">
        <v>10</v>
      </c>
      <c r="AV525">
        <v>1</v>
      </c>
      <c r="AW525">
        <v>1</v>
      </c>
      <c r="AZ525">
        <v>1</v>
      </c>
      <c r="BA525">
        <v>1</v>
      </c>
      <c r="BB525">
        <v>1</v>
      </c>
      <c r="BC525">
        <v>1</v>
      </c>
      <c r="BD525" t="s">
        <v>3</v>
      </c>
      <c r="BE525" t="s">
        <v>3</v>
      </c>
      <c r="BF525" t="s">
        <v>3</v>
      </c>
      <c r="BG525" t="s">
        <v>3</v>
      </c>
      <c r="BH525">
        <v>3</v>
      </c>
      <c r="BI525">
        <v>4</v>
      </c>
      <c r="BJ525" t="s">
        <v>298</v>
      </c>
      <c r="BM525">
        <v>0</v>
      </c>
      <c r="BN525">
        <v>0</v>
      </c>
      <c r="BO525" t="s">
        <v>3</v>
      </c>
      <c r="BP525">
        <v>0</v>
      </c>
      <c r="BQ525">
        <v>1</v>
      </c>
      <c r="BR525">
        <v>0</v>
      </c>
      <c r="BS525">
        <v>1</v>
      </c>
      <c r="BT525">
        <v>1</v>
      </c>
      <c r="BU525">
        <v>1</v>
      </c>
      <c r="BV525">
        <v>1</v>
      </c>
      <c r="BW525">
        <v>1</v>
      </c>
      <c r="BX525">
        <v>1</v>
      </c>
      <c r="BY525" t="s">
        <v>3</v>
      </c>
      <c r="BZ525">
        <v>70</v>
      </c>
      <c r="CA525">
        <v>10</v>
      </c>
      <c r="CE525">
        <v>0</v>
      </c>
      <c r="CF525">
        <v>0</v>
      </c>
      <c r="CG525">
        <v>0</v>
      </c>
      <c r="CM525">
        <v>0</v>
      </c>
      <c r="CN525" t="s">
        <v>3</v>
      </c>
      <c r="CO525">
        <v>0</v>
      </c>
      <c r="CP525">
        <f t="shared" si="284"/>
        <v>72431.81</v>
      </c>
      <c r="CQ525">
        <f t="shared" si="285"/>
        <v>39110.050000000003</v>
      </c>
      <c r="CR525">
        <f t="shared" si="286"/>
        <v>0</v>
      </c>
      <c r="CS525">
        <f t="shared" si="287"/>
        <v>0</v>
      </c>
      <c r="CT525">
        <f t="shared" si="288"/>
        <v>0</v>
      </c>
      <c r="CU525">
        <f t="shared" si="289"/>
        <v>0</v>
      </c>
      <c r="CV525">
        <f t="shared" si="290"/>
        <v>0</v>
      </c>
      <c r="CW525">
        <f t="shared" si="291"/>
        <v>0</v>
      </c>
      <c r="CX525">
        <f t="shared" si="292"/>
        <v>0</v>
      </c>
      <c r="CY525">
        <f t="shared" si="293"/>
        <v>0</v>
      </c>
      <c r="CZ525">
        <f t="shared" si="294"/>
        <v>0</v>
      </c>
      <c r="DC525" t="s">
        <v>3</v>
      </c>
      <c r="DD525" t="s">
        <v>3</v>
      </c>
      <c r="DE525" t="s">
        <v>3</v>
      </c>
      <c r="DF525" t="s">
        <v>3</v>
      </c>
      <c r="DG525" t="s">
        <v>3</v>
      </c>
      <c r="DH525" t="s">
        <v>3</v>
      </c>
      <c r="DI525" t="s">
        <v>3</v>
      </c>
      <c r="DJ525" t="s">
        <v>3</v>
      </c>
      <c r="DK525" t="s">
        <v>3</v>
      </c>
      <c r="DL525" t="s">
        <v>3</v>
      </c>
      <c r="DM525" t="s">
        <v>3</v>
      </c>
      <c r="DN525">
        <v>0</v>
      </c>
      <c r="DO525">
        <v>0</v>
      </c>
      <c r="DP525">
        <v>1</v>
      </c>
      <c r="DQ525">
        <v>1</v>
      </c>
      <c r="DU525">
        <v>1009</v>
      </c>
      <c r="DV525" t="s">
        <v>155</v>
      </c>
      <c r="DW525" t="s">
        <v>155</v>
      </c>
      <c r="DX525">
        <v>1000</v>
      </c>
      <c r="EE525">
        <v>38447819</v>
      </c>
      <c r="EF525">
        <v>1</v>
      </c>
      <c r="EG525" t="s">
        <v>23</v>
      </c>
      <c r="EH525">
        <v>0</v>
      </c>
      <c r="EI525" t="s">
        <v>3</v>
      </c>
      <c r="EJ525">
        <v>4</v>
      </c>
      <c r="EK525">
        <v>0</v>
      </c>
      <c r="EL525" t="s">
        <v>24</v>
      </c>
      <c r="EM525" t="s">
        <v>25</v>
      </c>
      <c r="EO525" t="s">
        <v>3</v>
      </c>
      <c r="EQ525">
        <v>0</v>
      </c>
      <c r="ER525">
        <v>39110.050000000003</v>
      </c>
      <c r="ES525">
        <v>39110.050000000003</v>
      </c>
      <c r="ET525">
        <v>0</v>
      </c>
      <c r="EU525">
        <v>0</v>
      </c>
      <c r="EV525">
        <v>0</v>
      </c>
      <c r="EW525">
        <v>0</v>
      </c>
      <c r="EX525">
        <v>0</v>
      </c>
      <c r="FQ525">
        <v>0</v>
      </c>
      <c r="FR525">
        <f t="shared" si="295"/>
        <v>0</v>
      </c>
      <c r="FS525">
        <v>0</v>
      </c>
      <c r="FX525">
        <v>70</v>
      </c>
      <c r="FY525">
        <v>10</v>
      </c>
      <c r="GA525" t="s">
        <v>3</v>
      </c>
      <c r="GD525">
        <v>0</v>
      </c>
      <c r="GF525">
        <v>-1866178365</v>
      </c>
      <c r="GG525">
        <v>2</v>
      </c>
      <c r="GH525">
        <v>1</v>
      </c>
      <c r="GI525">
        <v>-2</v>
      </c>
      <c r="GJ525">
        <v>0</v>
      </c>
      <c r="GK525">
        <f>ROUND(R525*(R12)/100,2)</f>
        <v>0</v>
      </c>
      <c r="GL525">
        <f t="shared" si="296"/>
        <v>0</v>
      </c>
      <c r="GM525">
        <f t="shared" si="297"/>
        <v>72431.81</v>
      </c>
      <c r="GN525">
        <f t="shared" si="298"/>
        <v>0</v>
      </c>
      <c r="GO525">
        <f t="shared" si="299"/>
        <v>0</v>
      </c>
      <c r="GP525">
        <f t="shared" si="300"/>
        <v>72431.81</v>
      </c>
      <c r="GR525">
        <v>0</v>
      </c>
      <c r="GS525">
        <v>3</v>
      </c>
      <c r="GT525">
        <v>0</v>
      </c>
      <c r="GU525" t="s">
        <v>3</v>
      </c>
      <c r="GV525">
        <f t="shared" si="301"/>
        <v>0</v>
      </c>
      <c r="GW525">
        <v>1</v>
      </c>
      <c r="GX525">
        <f t="shared" si="302"/>
        <v>0</v>
      </c>
      <c r="HA525">
        <v>0</v>
      </c>
      <c r="HB525">
        <v>0</v>
      </c>
      <c r="HC525">
        <f t="shared" si="303"/>
        <v>0</v>
      </c>
      <c r="HE525" t="s">
        <v>3</v>
      </c>
      <c r="HF525" t="s">
        <v>3</v>
      </c>
      <c r="IK525">
        <v>0</v>
      </c>
    </row>
    <row r="526" spans="1:245" x14ac:dyDescent="0.2">
      <c r="A526">
        <v>18</v>
      </c>
      <c r="B526">
        <v>1</v>
      </c>
      <c r="C526">
        <v>260</v>
      </c>
      <c r="E526" t="s">
        <v>299</v>
      </c>
      <c r="F526" t="s">
        <v>300</v>
      </c>
      <c r="G526" t="s">
        <v>301</v>
      </c>
      <c r="H526" t="s">
        <v>155</v>
      </c>
      <c r="I526">
        <f>I523*J526</f>
        <v>2.6909999999999998</v>
      </c>
      <c r="J526">
        <v>5.9535398230088493E-3</v>
      </c>
      <c r="O526">
        <f t="shared" si="264"/>
        <v>109248.01</v>
      </c>
      <c r="P526">
        <f t="shared" si="265"/>
        <v>109248.01</v>
      </c>
      <c r="Q526">
        <f t="shared" si="266"/>
        <v>0</v>
      </c>
      <c r="R526">
        <f t="shared" si="267"/>
        <v>0</v>
      </c>
      <c r="S526">
        <f t="shared" si="268"/>
        <v>0</v>
      </c>
      <c r="T526">
        <f t="shared" si="269"/>
        <v>0</v>
      </c>
      <c r="U526">
        <f t="shared" si="270"/>
        <v>0</v>
      </c>
      <c r="V526">
        <f t="shared" si="271"/>
        <v>0</v>
      </c>
      <c r="W526">
        <f t="shared" si="272"/>
        <v>0</v>
      </c>
      <c r="X526">
        <f t="shared" si="273"/>
        <v>0</v>
      </c>
      <c r="Y526">
        <f t="shared" si="274"/>
        <v>0</v>
      </c>
      <c r="AA526">
        <v>38799519</v>
      </c>
      <c r="AB526">
        <f t="shared" si="275"/>
        <v>40597.550000000003</v>
      </c>
      <c r="AC526">
        <f t="shared" si="276"/>
        <v>40597.550000000003</v>
      </c>
      <c r="AD526">
        <f t="shared" si="277"/>
        <v>0</v>
      </c>
      <c r="AE526">
        <f t="shared" si="278"/>
        <v>0</v>
      </c>
      <c r="AF526">
        <f t="shared" si="279"/>
        <v>0</v>
      </c>
      <c r="AG526">
        <f t="shared" si="280"/>
        <v>0</v>
      </c>
      <c r="AH526">
        <f t="shared" si="281"/>
        <v>0</v>
      </c>
      <c r="AI526">
        <f t="shared" si="282"/>
        <v>0</v>
      </c>
      <c r="AJ526">
        <f t="shared" si="283"/>
        <v>0</v>
      </c>
      <c r="AK526">
        <v>40597.550000000003</v>
      </c>
      <c r="AL526">
        <v>40597.550000000003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70</v>
      </c>
      <c r="AU526">
        <v>10</v>
      </c>
      <c r="AV526">
        <v>1</v>
      </c>
      <c r="AW526">
        <v>1</v>
      </c>
      <c r="AZ526">
        <v>1</v>
      </c>
      <c r="BA526">
        <v>1</v>
      </c>
      <c r="BB526">
        <v>1</v>
      </c>
      <c r="BC526">
        <v>1</v>
      </c>
      <c r="BD526" t="s">
        <v>3</v>
      </c>
      <c r="BE526" t="s">
        <v>3</v>
      </c>
      <c r="BF526" t="s">
        <v>3</v>
      </c>
      <c r="BG526" t="s">
        <v>3</v>
      </c>
      <c r="BH526">
        <v>3</v>
      </c>
      <c r="BI526">
        <v>4</v>
      </c>
      <c r="BJ526" t="s">
        <v>302</v>
      </c>
      <c r="BM526">
        <v>0</v>
      </c>
      <c r="BN526">
        <v>0</v>
      </c>
      <c r="BO526" t="s">
        <v>3</v>
      </c>
      <c r="BP526">
        <v>0</v>
      </c>
      <c r="BQ526">
        <v>1</v>
      </c>
      <c r="BR526">
        <v>0</v>
      </c>
      <c r="BS526">
        <v>1</v>
      </c>
      <c r="BT526">
        <v>1</v>
      </c>
      <c r="BU526">
        <v>1</v>
      </c>
      <c r="BV526">
        <v>1</v>
      </c>
      <c r="BW526">
        <v>1</v>
      </c>
      <c r="BX526">
        <v>1</v>
      </c>
      <c r="BY526" t="s">
        <v>3</v>
      </c>
      <c r="BZ526">
        <v>70</v>
      </c>
      <c r="CA526">
        <v>10</v>
      </c>
      <c r="CE526">
        <v>0</v>
      </c>
      <c r="CF526">
        <v>0</v>
      </c>
      <c r="CG526">
        <v>0</v>
      </c>
      <c r="CM526">
        <v>0</v>
      </c>
      <c r="CN526" t="s">
        <v>3</v>
      </c>
      <c r="CO526">
        <v>0</v>
      </c>
      <c r="CP526">
        <f t="shared" si="284"/>
        <v>109248.01</v>
      </c>
      <c r="CQ526">
        <f t="shared" si="285"/>
        <v>40597.550000000003</v>
      </c>
      <c r="CR526">
        <f t="shared" si="286"/>
        <v>0</v>
      </c>
      <c r="CS526">
        <f t="shared" si="287"/>
        <v>0</v>
      </c>
      <c r="CT526">
        <f t="shared" si="288"/>
        <v>0</v>
      </c>
      <c r="CU526">
        <f t="shared" si="289"/>
        <v>0</v>
      </c>
      <c r="CV526">
        <f t="shared" si="290"/>
        <v>0</v>
      </c>
      <c r="CW526">
        <f t="shared" si="291"/>
        <v>0</v>
      </c>
      <c r="CX526">
        <f t="shared" si="292"/>
        <v>0</v>
      </c>
      <c r="CY526">
        <f t="shared" si="293"/>
        <v>0</v>
      </c>
      <c r="CZ526">
        <f t="shared" si="294"/>
        <v>0</v>
      </c>
      <c r="DC526" t="s">
        <v>3</v>
      </c>
      <c r="DD526" t="s">
        <v>3</v>
      </c>
      <c r="DE526" t="s">
        <v>3</v>
      </c>
      <c r="DF526" t="s">
        <v>3</v>
      </c>
      <c r="DG526" t="s">
        <v>3</v>
      </c>
      <c r="DH526" t="s">
        <v>3</v>
      </c>
      <c r="DI526" t="s">
        <v>3</v>
      </c>
      <c r="DJ526" t="s">
        <v>3</v>
      </c>
      <c r="DK526" t="s">
        <v>3</v>
      </c>
      <c r="DL526" t="s">
        <v>3</v>
      </c>
      <c r="DM526" t="s">
        <v>3</v>
      </c>
      <c r="DN526">
        <v>0</v>
      </c>
      <c r="DO526">
        <v>0</v>
      </c>
      <c r="DP526">
        <v>1</v>
      </c>
      <c r="DQ526">
        <v>1</v>
      </c>
      <c r="DU526">
        <v>1009</v>
      </c>
      <c r="DV526" t="s">
        <v>155</v>
      </c>
      <c r="DW526" t="s">
        <v>155</v>
      </c>
      <c r="DX526">
        <v>1000</v>
      </c>
      <c r="EE526">
        <v>38447819</v>
      </c>
      <c r="EF526">
        <v>1</v>
      </c>
      <c r="EG526" t="s">
        <v>23</v>
      </c>
      <c r="EH526">
        <v>0</v>
      </c>
      <c r="EI526" t="s">
        <v>3</v>
      </c>
      <c r="EJ526">
        <v>4</v>
      </c>
      <c r="EK526">
        <v>0</v>
      </c>
      <c r="EL526" t="s">
        <v>24</v>
      </c>
      <c r="EM526" t="s">
        <v>25</v>
      </c>
      <c r="EO526" t="s">
        <v>3</v>
      </c>
      <c r="EQ526">
        <v>0</v>
      </c>
      <c r="ER526">
        <v>40597.550000000003</v>
      </c>
      <c r="ES526">
        <v>40597.550000000003</v>
      </c>
      <c r="ET526">
        <v>0</v>
      </c>
      <c r="EU526">
        <v>0</v>
      </c>
      <c r="EV526">
        <v>0</v>
      </c>
      <c r="EW526">
        <v>0</v>
      </c>
      <c r="EX526">
        <v>0</v>
      </c>
      <c r="FQ526">
        <v>0</v>
      </c>
      <c r="FR526">
        <f t="shared" si="295"/>
        <v>0</v>
      </c>
      <c r="FS526">
        <v>0</v>
      </c>
      <c r="FX526">
        <v>70</v>
      </c>
      <c r="FY526">
        <v>10</v>
      </c>
      <c r="GA526" t="s">
        <v>3</v>
      </c>
      <c r="GD526">
        <v>0</v>
      </c>
      <c r="GF526">
        <v>771913238</v>
      </c>
      <c r="GG526">
        <v>2</v>
      </c>
      <c r="GH526">
        <v>1</v>
      </c>
      <c r="GI526">
        <v>-2</v>
      </c>
      <c r="GJ526">
        <v>0</v>
      </c>
      <c r="GK526">
        <f>ROUND(R526*(R12)/100,2)</f>
        <v>0</v>
      </c>
      <c r="GL526">
        <f t="shared" si="296"/>
        <v>0</v>
      </c>
      <c r="GM526">
        <f t="shared" si="297"/>
        <v>109248.01</v>
      </c>
      <c r="GN526">
        <f t="shared" si="298"/>
        <v>0</v>
      </c>
      <c r="GO526">
        <f t="shared" si="299"/>
        <v>0</v>
      </c>
      <c r="GP526">
        <f t="shared" si="300"/>
        <v>109248.01</v>
      </c>
      <c r="GR526">
        <v>0</v>
      </c>
      <c r="GS526">
        <v>3</v>
      </c>
      <c r="GT526">
        <v>0</v>
      </c>
      <c r="GU526" t="s">
        <v>3</v>
      </c>
      <c r="GV526">
        <f t="shared" si="301"/>
        <v>0</v>
      </c>
      <c r="GW526">
        <v>1</v>
      </c>
      <c r="GX526">
        <f t="shared" si="302"/>
        <v>0</v>
      </c>
      <c r="HA526">
        <v>0</v>
      </c>
      <c r="HB526">
        <v>0</v>
      </c>
      <c r="HC526">
        <f t="shared" si="303"/>
        <v>0</v>
      </c>
      <c r="HE526" t="s">
        <v>3</v>
      </c>
      <c r="HF526" t="s">
        <v>3</v>
      </c>
      <c r="IK526">
        <v>0</v>
      </c>
    </row>
    <row r="527" spans="1:245" x14ac:dyDescent="0.2">
      <c r="A527">
        <v>17</v>
      </c>
      <c r="B527">
        <v>1</v>
      </c>
      <c r="C527">
        <f>ROW(SmtRes!A280)</f>
        <v>280</v>
      </c>
      <c r="D527">
        <f>ROW(EtalonRes!A249)</f>
        <v>249</v>
      </c>
      <c r="E527" t="s">
        <v>303</v>
      </c>
      <c r="F527" t="s">
        <v>304</v>
      </c>
      <c r="G527" t="s">
        <v>305</v>
      </c>
      <c r="H527" t="s">
        <v>198</v>
      </c>
      <c r="I527">
        <v>61</v>
      </c>
      <c r="J527">
        <v>0</v>
      </c>
      <c r="O527">
        <f t="shared" si="264"/>
        <v>274359.09000000003</v>
      </c>
      <c r="P527">
        <f t="shared" si="265"/>
        <v>226779.09</v>
      </c>
      <c r="Q527">
        <f t="shared" si="266"/>
        <v>16021.04</v>
      </c>
      <c r="R527">
        <f t="shared" si="267"/>
        <v>8944.43</v>
      </c>
      <c r="S527">
        <f t="shared" si="268"/>
        <v>31558.959999999999</v>
      </c>
      <c r="T527">
        <f t="shared" si="269"/>
        <v>0</v>
      </c>
      <c r="U527">
        <f t="shared" si="270"/>
        <v>145.18</v>
      </c>
      <c r="V527">
        <f t="shared" si="271"/>
        <v>0</v>
      </c>
      <c r="W527">
        <f t="shared" si="272"/>
        <v>0</v>
      </c>
      <c r="X527">
        <f t="shared" si="273"/>
        <v>22091.27</v>
      </c>
      <c r="Y527">
        <f t="shared" si="274"/>
        <v>3155.9</v>
      </c>
      <c r="AA527">
        <v>38799519</v>
      </c>
      <c r="AB527">
        <f t="shared" si="275"/>
        <v>4497.6899999999996</v>
      </c>
      <c r="AC527">
        <f t="shared" si="276"/>
        <v>3717.69</v>
      </c>
      <c r="AD527">
        <f t="shared" si="277"/>
        <v>262.64</v>
      </c>
      <c r="AE527">
        <f t="shared" si="278"/>
        <v>146.63</v>
      </c>
      <c r="AF527">
        <f t="shared" si="279"/>
        <v>517.36</v>
      </c>
      <c r="AG527">
        <f t="shared" si="280"/>
        <v>0</v>
      </c>
      <c r="AH527">
        <f t="shared" si="281"/>
        <v>2.38</v>
      </c>
      <c r="AI527">
        <f t="shared" si="282"/>
        <v>0</v>
      </c>
      <c r="AJ527">
        <f t="shared" si="283"/>
        <v>0</v>
      </c>
      <c r="AK527">
        <v>4497.6899999999996</v>
      </c>
      <c r="AL527">
        <v>3717.69</v>
      </c>
      <c r="AM527">
        <v>262.64</v>
      </c>
      <c r="AN527">
        <v>146.63</v>
      </c>
      <c r="AO527">
        <v>517.36</v>
      </c>
      <c r="AP527">
        <v>0</v>
      </c>
      <c r="AQ527">
        <v>2.38</v>
      </c>
      <c r="AR527">
        <v>0</v>
      </c>
      <c r="AS527">
        <v>0</v>
      </c>
      <c r="AT527">
        <v>70</v>
      </c>
      <c r="AU527">
        <v>10</v>
      </c>
      <c r="AV527">
        <v>1</v>
      </c>
      <c r="AW527">
        <v>1</v>
      </c>
      <c r="AZ527">
        <v>1</v>
      </c>
      <c r="BA527">
        <v>1</v>
      </c>
      <c r="BB527">
        <v>1</v>
      </c>
      <c r="BC527">
        <v>1</v>
      </c>
      <c r="BD527" t="s">
        <v>3</v>
      </c>
      <c r="BE527" t="s">
        <v>3</v>
      </c>
      <c r="BF527" t="s">
        <v>3</v>
      </c>
      <c r="BG527" t="s">
        <v>3</v>
      </c>
      <c r="BH527">
        <v>0</v>
      </c>
      <c r="BI527">
        <v>4</v>
      </c>
      <c r="BJ527" t="s">
        <v>306</v>
      </c>
      <c r="BM527">
        <v>0</v>
      </c>
      <c r="BN527">
        <v>0</v>
      </c>
      <c r="BO527" t="s">
        <v>3</v>
      </c>
      <c r="BP527">
        <v>0</v>
      </c>
      <c r="BQ527">
        <v>1</v>
      </c>
      <c r="BR527">
        <v>0</v>
      </c>
      <c r="BS527">
        <v>1</v>
      </c>
      <c r="BT527">
        <v>1</v>
      </c>
      <c r="BU527">
        <v>1</v>
      </c>
      <c r="BV527">
        <v>1</v>
      </c>
      <c r="BW527">
        <v>1</v>
      </c>
      <c r="BX527">
        <v>1</v>
      </c>
      <c r="BY527" t="s">
        <v>3</v>
      </c>
      <c r="BZ527">
        <v>70</v>
      </c>
      <c r="CA527">
        <v>10</v>
      </c>
      <c r="CE527">
        <v>0</v>
      </c>
      <c r="CF527">
        <v>0</v>
      </c>
      <c r="CG527">
        <v>0</v>
      </c>
      <c r="CM527">
        <v>0</v>
      </c>
      <c r="CN527" t="s">
        <v>3</v>
      </c>
      <c r="CO527">
        <v>0</v>
      </c>
      <c r="CP527">
        <f t="shared" si="284"/>
        <v>274359.09000000003</v>
      </c>
      <c r="CQ527">
        <f t="shared" si="285"/>
        <v>3717.69</v>
      </c>
      <c r="CR527">
        <f t="shared" si="286"/>
        <v>262.64</v>
      </c>
      <c r="CS527">
        <f t="shared" si="287"/>
        <v>146.63</v>
      </c>
      <c r="CT527">
        <f t="shared" si="288"/>
        <v>517.36</v>
      </c>
      <c r="CU527">
        <f t="shared" si="289"/>
        <v>0</v>
      </c>
      <c r="CV527">
        <f t="shared" si="290"/>
        <v>2.38</v>
      </c>
      <c r="CW527">
        <f t="shared" si="291"/>
        <v>0</v>
      </c>
      <c r="CX527">
        <f t="shared" si="292"/>
        <v>0</v>
      </c>
      <c r="CY527">
        <f t="shared" si="293"/>
        <v>22091.271999999997</v>
      </c>
      <c r="CZ527">
        <f t="shared" si="294"/>
        <v>3155.8959999999997</v>
      </c>
      <c r="DC527" t="s">
        <v>3</v>
      </c>
      <c r="DD527" t="s">
        <v>3</v>
      </c>
      <c r="DE527" t="s">
        <v>3</v>
      </c>
      <c r="DF527" t="s">
        <v>3</v>
      </c>
      <c r="DG527" t="s">
        <v>3</v>
      </c>
      <c r="DH527" t="s">
        <v>3</v>
      </c>
      <c r="DI527" t="s">
        <v>3</v>
      </c>
      <c r="DJ527" t="s">
        <v>3</v>
      </c>
      <c r="DK527" t="s">
        <v>3</v>
      </c>
      <c r="DL527" t="s">
        <v>3</v>
      </c>
      <c r="DM527" t="s">
        <v>3</v>
      </c>
      <c r="DN527">
        <v>0</v>
      </c>
      <c r="DO527">
        <v>0</v>
      </c>
      <c r="DP527">
        <v>1</v>
      </c>
      <c r="DQ527">
        <v>1</v>
      </c>
      <c r="DU527">
        <v>1010</v>
      </c>
      <c r="DV527" t="s">
        <v>198</v>
      </c>
      <c r="DW527" t="s">
        <v>198</v>
      </c>
      <c r="DX527">
        <v>1</v>
      </c>
      <c r="EE527">
        <v>38447819</v>
      </c>
      <c r="EF527">
        <v>1</v>
      </c>
      <c r="EG527" t="s">
        <v>23</v>
      </c>
      <c r="EH527">
        <v>0</v>
      </c>
      <c r="EI527" t="s">
        <v>3</v>
      </c>
      <c r="EJ527">
        <v>4</v>
      </c>
      <c r="EK527">
        <v>0</v>
      </c>
      <c r="EL527" t="s">
        <v>24</v>
      </c>
      <c r="EM527" t="s">
        <v>25</v>
      </c>
      <c r="EO527" t="s">
        <v>3</v>
      </c>
      <c r="EQ527">
        <v>0</v>
      </c>
      <c r="ER527">
        <v>4497.6899999999996</v>
      </c>
      <c r="ES527">
        <v>3717.69</v>
      </c>
      <c r="ET527">
        <v>262.64</v>
      </c>
      <c r="EU527">
        <v>146.63</v>
      </c>
      <c r="EV527">
        <v>517.36</v>
      </c>
      <c r="EW527">
        <v>2.38</v>
      </c>
      <c r="EX527">
        <v>0</v>
      </c>
      <c r="EY527">
        <v>0</v>
      </c>
      <c r="FQ527">
        <v>0</v>
      </c>
      <c r="FR527">
        <f t="shared" si="295"/>
        <v>0</v>
      </c>
      <c r="FS527">
        <v>0</v>
      </c>
      <c r="FX527">
        <v>70</v>
      </c>
      <c r="FY527">
        <v>10</v>
      </c>
      <c r="GA527" t="s">
        <v>3</v>
      </c>
      <c r="GD527">
        <v>0</v>
      </c>
      <c r="GF527">
        <v>-374750057</v>
      </c>
      <c r="GG527">
        <v>2</v>
      </c>
      <c r="GH527">
        <v>1</v>
      </c>
      <c r="GI527">
        <v>-2</v>
      </c>
      <c r="GJ527">
        <v>0</v>
      </c>
      <c r="GK527">
        <f>ROUND(R527*(R12)/100,2)</f>
        <v>9659.98</v>
      </c>
      <c r="GL527">
        <f t="shared" si="296"/>
        <v>0</v>
      </c>
      <c r="GM527">
        <f t="shared" si="297"/>
        <v>309266.24</v>
      </c>
      <c r="GN527">
        <f t="shared" si="298"/>
        <v>0</v>
      </c>
      <c r="GO527">
        <f t="shared" si="299"/>
        <v>0</v>
      </c>
      <c r="GP527">
        <f t="shared" si="300"/>
        <v>309266.24</v>
      </c>
      <c r="GR527">
        <v>0</v>
      </c>
      <c r="GS527">
        <v>3</v>
      </c>
      <c r="GT527">
        <v>0</v>
      </c>
      <c r="GU527" t="s">
        <v>3</v>
      </c>
      <c r="GV527">
        <f t="shared" si="301"/>
        <v>0</v>
      </c>
      <c r="GW527">
        <v>1</v>
      </c>
      <c r="GX527">
        <f t="shared" si="302"/>
        <v>0</v>
      </c>
      <c r="HA527">
        <v>0</v>
      </c>
      <c r="HB527">
        <v>0</v>
      </c>
      <c r="HC527">
        <f t="shared" si="303"/>
        <v>0</v>
      </c>
      <c r="HE527" t="s">
        <v>3</v>
      </c>
      <c r="HF527" t="s">
        <v>3</v>
      </c>
      <c r="IK527">
        <v>0</v>
      </c>
    </row>
    <row r="528" spans="1:245" x14ac:dyDescent="0.2">
      <c r="A528">
        <v>18</v>
      </c>
      <c r="B528">
        <v>1</v>
      </c>
      <c r="C528">
        <v>278</v>
      </c>
      <c r="E528" t="s">
        <v>307</v>
      </c>
      <c r="F528" t="s">
        <v>308</v>
      </c>
      <c r="G528" t="s">
        <v>309</v>
      </c>
      <c r="H528" t="s">
        <v>121</v>
      </c>
      <c r="I528">
        <f>I527*J528</f>
        <v>-152.5</v>
      </c>
      <c r="J528">
        <v>-2.5</v>
      </c>
      <c r="O528">
        <f t="shared" si="264"/>
        <v>-200092.2</v>
      </c>
      <c r="P528">
        <f t="shared" si="265"/>
        <v>-200092.2</v>
      </c>
      <c r="Q528">
        <f t="shared" si="266"/>
        <v>0</v>
      </c>
      <c r="R528">
        <f t="shared" si="267"/>
        <v>0</v>
      </c>
      <c r="S528">
        <f t="shared" si="268"/>
        <v>0</v>
      </c>
      <c r="T528">
        <f t="shared" si="269"/>
        <v>0</v>
      </c>
      <c r="U528">
        <f t="shared" si="270"/>
        <v>0</v>
      </c>
      <c r="V528">
        <f t="shared" si="271"/>
        <v>0</v>
      </c>
      <c r="W528">
        <f t="shared" si="272"/>
        <v>0</v>
      </c>
      <c r="X528">
        <f t="shared" si="273"/>
        <v>0</v>
      </c>
      <c r="Y528">
        <f t="shared" si="274"/>
        <v>0</v>
      </c>
      <c r="AA528">
        <v>38799519</v>
      </c>
      <c r="AB528">
        <f t="shared" si="275"/>
        <v>1312.08</v>
      </c>
      <c r="AC528">
        <f t="shared" si="276"/>
        <v>1312.08</v>
      </c>
      <c r="AD528">
        <f t="shared" si="277"/>
        <v>0</v>
      </c>
      <c r="AE528">
        <f t="shared" si="278"/>
        <v>0</v>
      </c>
      <c r="AF528">
        <f t="shared" si="279"/>
        <v>0</v>
      </c>
      <c r="AG528">
        <f t="shared" si="280"/>
        <v>0</v>
      </c>
      <c r="AH528">
        <f t="shared" si="281"/>
        <v>0</v>
      </c>
      <c r="AI528">
        <f t="shared" si="282"/>
        <v>0</v>
      </c>
      <c r="AJ528">
        <f t="shared" si="283"/>
        <v>0</v>
      </c>
      <c r="AK528">
        <v>1312.08</v>
      </c>
      <c r="AL528">
        <v>1312.08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70</v>
      </c>
      <c r="AU528">
        <v>10</v>
      </c>
      <c r="AV528">
        <v>1</v>
      </c>
      <c r="AW528">
        <v>1</v>
      </c>
      <c r="AZ528">
        <v>1</v>
      </c>
      <c r="BA528">
        <v>1</v>
      </c>
      <c r="BB528">
        <v>1</v>
      </c>
      <c r="BC528">
        <v>1</v>
      </c>
      <c r="BD528" t="s">
        <v>3</v>
      </c>
      <c r="BE528" t="s">
        <v>3</v>
      </c>
      <c r="BF528" t="s">
        <v>3</v>
      </c>
      <c r="BG528" t="s">
        <v>3</v>
      </c>
      <c r="BH528">
        <v>3</v>
      </c>
      <c r="BI528">
        <v>4</v>
      </c>
      <c r="BJ528" t="s">
        <v>310</v>
      </c>
      <c r="BM528">
        <v>0</v>
      </c>
      <c r="BN528">
        <v>0</v>
      </c>
      <c r="BO528" t="s">
        <v>3</v>
      </c>
      <c r="BP528">
        <v>0</v>
      </c>
      <c r="BQ528">
        <v>1</v>
      </c>
      <c r="BR528">
        <v>0</v>
      </c>
      <c r="BS528">
        <v>1</v>
      </c>
      <c r="BT528">
        <v>1</v>
      </c>
      <c r="BU528">
        <v>1</v>
      </c>
      <c r="BV528">
        <v>1</v>
      </c>
      <c r="BW528">
        <v>1</v>
      </c>
      <c r="BX528">
        <v>1</v>
      </c>
      <c r="BY528" t="s">
        <v>3</v>
      </c>
      <c r="BZ528">
        <v>70</v>
      </c>
      <c r="CA528">
        <v>10</v>
      </c>
      <c r="CE528">
        <v>0</v>
      </c>
      <c r="CF528">
        <v>0</v>
      </c>
      <c r="CG528">
        <v>0</v>
      </c>
      <c r="CM528">
        <v>0</v>
      </c>
      <c r="CN528" t="s">
        <v>3</v>
      </c>
      <c r="CO528">
        <v>0</v>
      </c>
      <c r="CP528">
        <f t="shared" si="284"/>
        <v>-200092.2</v>
      </c>
      <c r="CQ528">
        <f t="shared" si="285"/>
        <v>1312.08</v>
      </c>
      <c r="CR528">
        <f t="shared" si="286"/>
        <v>0</v>
      </c>
      <c r="CS528">
        <f t="shared" si="287"/>
        <v>0</v>
      </c>
      <c r="CT528">
        <f t="shared" si="288"/>
        <v>0</v>
      </c>
      <c r="CU528">
        <f t="shared" si="289"/>
        <v>0</v>
      </c>
      <c r="CV528">
        <f t="shared" si="290"/>
        <v>0</v>
      </c>
      <c r="CW528">
        <f t="shared" si="291"/>
        <v>0</v>
      </c>
      <c r="CX528">
        <f t="shared" si="292"/>
        <v>0</v>
      </c>
      <c r="CY528">
        <f t="shared" si="293"/>
        <v>0</v>
      </c>
      <c r="CZ528">
        <f t="shared" si="294"/>
        <v>0</v>
      </c>
      <c r="DC528" t="s">
        <v>3</v>
      </c>
      <c r="DD528" t="s">
        <v>3</v>
      </c>
      <c r="DE528" t="s">
        <v>3</v>
      </c>
      <c r="DF528" t="s">
        <v>3</v>
      </c>
      <c r="DG528" t="s">
        <v>3</v>
      </c>
      <c r="DH528" t="s">
        <v>3</v>
      </c>
      <c r="DI528" t="s">
        <v>3</v>
      </c>
      <c r="DJ528" t="s">
        <v>3</v>
      </c>
      <c r="DK528" t="s">
        <v>3</v>
      </c>
      <c r="DL528" t="s">
        <v>3</v>
      </c>
      <c r="DM528" t="s">
        <v>3</v>
      </c>
      <c r="DN528">
        <v>0</v>
      </c>
      <c r="DO528">
        <v>0</v>
      </c>
      <c r="DP528">
        <v>1</v>
      </c>
      <c r="DQ528">
        <v>1</v>
      </c>
      <c r="DU528">
        <v>1003</v>
      </c>
      <c r="DV528" t="s">
        <v>121</v>
      </c>
      <c r="DW528" t="s">
        <v>121</v>
      </c>
      <c r="DX528">
        <v>1</v>
      </c>
      <c r="EE528">
        <v>38447819</v>
      </c>
      <c r="EF528">
        <v>1</v>
      </c>
      <c r="EG528" t="s">
        <v>23</v>
      </c>
      <c r="EH528">
        <v>0</v>
      </c>
      <c r="EI528" t="s">
        <v>3</v>
      </c>
      <c r="EJ528">
        <v>4</v>
      </c>
      <c r="EK528">
        <v>0</v>
      </c>
      <c r="EL528" t="s">
        <v>24</v>
      </c>
      <c r="EM528" t="s">
        <v>25</v>
      </c>
      <c r="EO528" t="s">
        <v>3</v>
      </c>
      <c r="EQ528">
        <v>0</v>
      </c>
      <c r="ER528">
        <v>1312.08</v>
      </c>
      <c r="ES528">
        <v>1312.08</v>
      </c>
      <c r="ET528">
        <v>0</v>
      </c>
      <c r="EU528">
        <v>0</v>
      </c>
      <c r="EV528">
        <v>0</v>
      </c>
      <c r="EW528">
        <v>0</v>
      </c>
      <c r="EX528">
        <v>0</v>
      </c>
      <c r="FQ528">
        <v>0</v>
      </c>
      <c r="FR528">
        <f t="shared" si="295"/>
        <v>0</v>
      </c>
      <c r="FS528">
        <v>0</v>
      </c>
      <c r="FX528">
        <v>70</v>
      </c>
      <c r="FY528">
        <v>10</v>
      </c>
      <c r="GA528" t="s">
        <v>3</v>
      </c>
      <c r="GD528">
        <v>0</v>
      </c>
      <c r="GF528">
        <v>1566889511</v>
      </c>
      <c r="GG528">
        <v>2</v>
      </c>
      <c r="GH528">
        <v>1</v>
      </c>
      <c r="GI528">
        <v>-2</v>
      </c>
      <c r="GJ528">
        <v>0</v>
      </c>
      <c r="GK528">
        <f>ROUND(R528*(R12)/100,2)</f>
        <v>0</v>
      </c>
      <c r="GL528">
        <f t="shared" si="296"/>
        <v>0</v>
      </c>
      <c r="GM528">
        <f t="shared" si="297"/>
        <v>-200092.2</v>
      </c>
      <c r="GN528">
        <f t="shared" si="298"/>
        <v>0</v>
      </c>
      <c r="GO528">
        <f t="shared" si="299"/>
        <v>0</v>
      </c>
      <c r="GP528">
        <f t="shared" si="300"/>
        <v>-200092.2</v>
      </c>
      <c r="GR528">
        <v>0</v>
      </c>
      <c r="GS528">
        <v>3</v>
      </c>
      <c r="GT528">
        <v>0</v>
      </c>
      <c r="GU528" t="s">
        <v>3</v>
      </c>
      <c r="GV528">
        <f t="shared" si="301"/>
        <v>0</v>
      </c>
      <c r="GW528">
        <v>1</v>
      </c>
      <c r="GX528">
        <f t="shared" si="302"/>
        <v>0</v>
      </c>
      <c r="HA528">
        <v>0</v>
      </c>
      <c r="HB528">
        <v>0</v>
      </c>
      <c r="HC528">
        <f t="shared" si="303"/>
        <v>0</v>
      </c>
      <c r="HE528" t="s">
        <v>3</v>
      </c>
      <c r="HF528" t="s">
        <v>3</v>
      </c>
      <c r="IK528">
        <v>0</v>
      </c>
    </row>
    <row r="529" spans="1:245" x14ac:dyDescent="0.2">
      <c r="A529">
        <v>18</v>
      </c>
      <c r="B529">
        <v>1</v>
      </c>
      <c r="C529">
        <v>272</v>
      </c>
      <c r="E529" t="s">
        <v>311</v>
      </c>
      <c r="F529" t="s">
        <v>162</v>
      </c>
      <c r="G529" t="s">
        <v>163</v>
      </c>
      <c r="H529" t="s">
        <v>155</v>
      </c>
      <c r="I529">
        <f>I527*J529</f>
        <v>1.71</v>
      </c>
      <c r="J529">
        <v>2.8032786885245901E-2</v>
      </c>
      <c r="O529">
        <f t="shared" si="264"/>
        <v>63833.09</v>
      </c>
      <c r="P529">
        <f t="shared" si="265"/>
        <v>63833.09</v>
      </c>
      <c r="Q529">
        <f t="shared" si="266"/>
        <v>0</v>
      </c>
      <c r="R529">
        <f t="shared" si="267"/>
        <v>0</v>
      </c>
      <c r="S529">
        <f t="shared" si="268"/>
        <v>0</v>
      </c>
      <c r="T529">
        <f t="shared" si="269"/>
        <v>0</v>
      </c>
      <c r="U529">
        <f t="shared" si="270"/>
        <v>0</v>
      </c>
      <c r="V529">
        <f t="shared" si="271"/>
        <v>0</v>
      </c>
      <c r="W529">
        <f t="shared" si="272"/>
        <v>0</v>
      </c>
      <c r="X529">
        <f t="shared" si="273"/>
        <v>0</v>
      </c>
      <c r="Y529">
        <f t="shared" si="274"/>
        <v>0</v>
      </c>
      <c r="AA529">
        <v>38799519</v>
      </c>
      <c r="AB529">
        <f t="shared" si="275"/>
        <v>37329.29</v>
      </c>
      <c r="AC529">
        <f t="shared" si="276"/>
        <v>37329.29</v>
      </c>
      <c r="AD529">
        <f t="shared" si="277"/>
        <v>0</v>
      </c>
      <c r="AE529">
        <f t="shared" si="278"/>
        <v>0</v>
      </c>
      <c r="AF529">
        <f t="shared" si="279"/>
        <v>0</v>
      </c>
      <c r="AG529">
        <f t="shared" si="280"/>
        <v>0</v>
      </c>
      <c r="AH529">
        <f t="shared" si="281"/>
        <v>0</v>
      </c>
      <c r="AI529">
        <f t="shared" si="282"/>
        <v>0</v>
      </c>
      <c r="AJ529">
        <f t="shared" si="283"/>
        <v>0</v>
      </c>
      <c r="AK529">
        <v>37329.29</v>
      </c>
      <c r="AL529">
        <v>37329.29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70</v>
      </c>
      <c r="AU529">
        <v>10</v>
      </c>
      <c r="AV529">
        <v>1</v>
      </c>
      <c r="AW529">
        <v>1</v>
      </c>
      <c r="AZ529">
        <v>1</v>
      </c>
      <c r="BA529">
        <v>1</v>
      </c>
      <c r="BB529">
        <v>1</v>
      </c>
      <c r="BC529">
        <v>1</v>
      </c>
      <c r="BD529" t="s">
        <v>3</v>
      </c>
      <c r="BE529" t="s">
        <v>3</v>
      </c>
      <c r="BF529" t="s">
        <v>3</v>
      </c>
      <c r="BG529" t="s">
        <v>3</v>
      </c>
      <c r="BH529">
        <v>3</v>
      </c>
      <c r="BI529">
        <v>4</v>
      </c>
      <c r="BJ529" t="s">
        <v>164</v>
      </c>
      <c r="BM529">
        <v>0</v>
      </c>
      <c r="BN529">
        <v>0</v>
      </c>
      <c r="BO529" t="s">
        <v>3</v>
      </c>
      <c r="BP529">
        <v>0</v>
      </c>
      <c r="BQ529">
        <v>1</v>
      </c>
      <c r="BR529">
        <v>0</v>
      </c>
      <c r="BS529">
        <v>1</v>
      </c>
      <c r="BT529">
        <v>1</v>
      </c>
      <c r="BU529">
        <v>1</v>
      </c>
      <c r="BV529">
        <v>1</v>
      </c>
      <c r="BW529">
        <v>1</v>
      </c>
      <c r="BX529">
        <v>1</v>
      </c>
      <c r="BY529" t="s">
        <v>3</v>
      </c>
      <c r="BZ529">
        <v>70</v>
      </c>
      <c r="CA529">
        <v>10</v>
      </c>
      <c r="CE529">
        <v>0</v>
      </c>
      <c r="CF529">
        <v>0</v>
      </c>
      <c r="CG529">
        <v>0</v>
      </c>
      <c r="CM529">
        <v>0</v>
      </c>
      <c r="CN529" t="s">
        <v>3</v>
      </c>
      <c r="CO529">
        <v>0</v>
      </c>
      <c r="CP529">
        <f t="shared" si="284"/>
        <v>63833.09</v>
      </c>
      <c r="CQ529">
        <f t="shared" si="285"/>
        <v>37329.29</v>
      </c>
      <c r="CR529">
        <f t="shared" si="286"/>
        <v>0</v>
      </c>
      <c r="CS529">
        <f t="shared" si="287"/>
        <v>0</v>
      </c>
      <c r="CT529">
        <f t="shared" si="288"/>
        <v>0</v>
      </c>
      <c r="CU529">
        <f t="shared" si="289"/>
        <v>0</v>
      </c>
      <c r="CV529">
        <f t="shared" si="290"/>
        <v>0</v>
      </c>
      <c r="CW529">
        <f t="shared" si="291"/>
        <v>0</v>
      </c>
      <c r="CX529">
        <f t="shared" si="292"/>
        <v>0</v>
      </c>
      <c r="CY529">
        <f t="shared" si="293"/>
        <v>0</v>
      </c>
      <c r="CZ529">
        <f t="shared" si="294"/>
        <v>0</v>
      </c>
      <c r="DC529" t="s">
        <v>3</v>
      </c>
      <c r="DD529" t="s">
        <v>3</v>
      </c>
      <c r="DE529" t="s">
        <v>3</v>
      </c>
      <c r="DF529" t="s">
        <v>3</v>
      </c>
      <c r="DG529" t="s">
        <v>3</v>
      </c>
      <c r="DH529" t="s">
        <v>3</v>
      </c>
      <c r="DI529" t="s">
        <v>3</v>
      </c>
      <c r="DJ529" t="s">
        <v>3</v>
      </c>
      <c r="DK529" t="s">
        <v>3</v>
      </c>
      <c r="DL529" t="s">
        <v>3</v>
      </c>
      <c r="DM529" t="s">
        <v>3</v>
      </c>
      <c r="DN529">
        <v>0</v>
      </c>
      <c r="DO529">
        <v>0</v>
      </c>
      <c r="DP529">
        <v>1</v>
      </c>
      <c r="DQ529">
        <v>1</v>
      </c>
      <c r="DU529">
        <v>1009</v>
      </c>
      <c r="DV529" t="s">
        <v>155</v>
      </c>
      <c r="DW529" t="s">
        <v>155</v>
      </c>
      <c r="DX529">
        <v>1000</v>
      </c>
      <c r="EE529">
        <v>38447819</v>
      </c>
      <c r="EF529">
        <v>1</v>
      </c>
      <c r="EG529" t="s">
        <v>23</v>
      </c>
      <c r="EH529">
        <v>0</v>
      </c>
      <c r="EI529" t="s">
        <v>3</v>
      </c>
      <c r="EJ529">
        <v>4</v>
      </c>
      <c r="EK529">
        <v>0</v>
      </c>
      <c r="EL529" t="s">
        <v>24</v>
      </c>
      <c r="EM529" t="s">
        <v>25</v>
      </c>
      <c r="EO529" t="s">
        <v>3</v>
      </c>
      <c r="EQ529">
        <v>0</v>
      </c>
      <c r="ER529">
        <v>37329.29</v>
      </c>
      <c r="ES529">
        <v>37329.29</v>
      </c>
      <c r="ET529">
        <v>0</v>
      </c>
      <c r="EU529">
        <v>0</v>
      </c>
      <c r="EV529">
        <v>0</v>
      </c>
      <c r="EW529">
        <v>0</v>
      </c>
      <c r="EX529">
        <v>0</v>
      </c>
      <c r="FQ529">
        <v>0</v>
      </c>
      <c r="FR529">
        <f t="shared" si="295"/>
        <v>0</v>
      </c>
      <c r="FS529">
        <v>0</v>
      </c>
      <c r="FX529">
        <v>70</v>
      </c>
      <c r="FY529">
        <v>10</v>
      </c>
      <c r="GA529" t="s">
        <v>3</v>
      </c>
      <c r="GD529">
        <v>0</v>
      </c>
      <c r="GF529">
        <v>209443868</v>
      </c>
      <c r="GG529">
        <v>2</v>
      </c>
      <c r="GH529">
        <v>1</v>
      </c>
      <c r="GI529">
        <v>-2</v>
      </c>
      <c r="GJ529">
        <v>0</v>
      </c>
      <c r="GK529">
        <f>ROUND(R529*(R12)/100,2)</f>
        <v>0</v>
      </c>
      <c r="GL529">
        <f t="shared" si="296"/>
        <v>0</v>
      </c>
      <c r="GM529">
        <f t="shared" si="297"/>
        <v>63833.09</v>
      </c>
      <c r="GN529">
        <f t="shared" si="298"/>
        <v>0</v>
      </c>
      <c r="GO529">
        <f t="shared" si="299"/>
        <v>0</v>
      </c>
      <c r="GP529">
        <f t="shared" si="300"/>
        <v>63833.09</v>
      </c>
      <c r="GR529">
        <v>0</v>
      </c>
      <c r="GS529">
        <v>3</v>
      </c>
      <c r="GT529">
        <v>0</v>
      </c>
      <c r="GU529" t="s">
        <v>3</v>
      </c>
      <c r="GV529">
        <f t="shared" si="301"/>
        <v>0</v>
      </c>
      <c r="GW529">
        <v>1</v>
      </c>
      <c r="GX529">
        <f t="shared" si="302"/>
        <v>0</v>
      </c>
      <c r="HA529">
        <v>0</v>
      </c>
      <c r="HB529">
        <v>0</v>
      </c>
      <c r="HC529">
        <f t="shared" si="303"/>
        <v>0</v>
      </c>
      <c r="HE529" t="s">
        <v>3</v>
      </c>
      <c r="HF529" t="s">
        <v>3</v>
      </c>
      <c r="IK529">
        <v>0</v>
      </c>
    </row>
    <row r="530" spans="1:245" x14ac:dyDescent="0.2">
      <c r="A530">
        <v>17</v>
      </c>
      <c r="B530">
        <v>1</v>
      </c>
      <c r="C530">
        <f>ROW(SmtRes!A288)</f>
        <v>288</v>
      </c>
      <c r="D530">
        <f>ROW(EtalonRes!A257)</f>
        <v>257</v>
      </c>
      <c r="E530" t="s">
        <v>312</v>
      </c>
      <c r="F530" t="s">
        <v>287</v>
      </c>
      <c r="G530" t="s">
        <v>288</v>
      </c>
      <c r="H530" t="s">
        <v>289</v>
      </c>
      <c r="I530">
        <v>10</v>
      </c>
      <c r="J530">
        <v>0</v>
      </c>
      <c r="O530">
        <f t="shared" si="264"/>
        <v>69467.399999999994</v>
      </c>
      <c r="P530">
        <f t="shared" si="265"/>
        <v>56873.7</v>
      </c>
      <c r="Q530">
        <f t="shared" si="266"/>
        <v>4642.7</v>
      </c>
      <c r="R530">
        <f t="shared" si="267"/>
        <v>2959.8</v>
      </c>
      <c r="S530">
        <f t="shared" si="268"/>
        <v>7951</v>
      </c>
      <c r="T530">
        <f t="shared" si="269"/>
        <v>0</v>
      </c>
      <c r="U530">
        <f t="shared" si="270"/>
        <v>29.700000000000003</v>
      </c>
      <c r="V530">
        <f t="shared" si="271"/>
        <v>0</v>
      </c>
      <c r="W530">
        <f t="shared" si="272"/>
        <v>0</v>
      </c>
      <c r="X530">
        <f t="shared" si="273"/>
        <v>5565.7</v>
      </c>
      <c r="Y530">
        <f t="shared" si="274"/>
        <v>795.1</v>
      </c>
      <c r="AA530">
        <v>38799519</v>
      </c>
      <c r="AB530">
        <f t="shared" si="275"/>
        <v>6946.74</v>
      </c>
      <c r="AC530">
        <f t="shared" si="276"/>
        <v>5687.37</v>
      </c>
      <c r="AD530">
        <f t="shared" si="277"/>
        <v>464.27</v>
      </c>
      <c r="AE530">
        <f t="shared" si="278"/>
        <v>295.98</v>
      </c>
      <c r="AF530">
        <f t="shared" si="279"/>
        <v>795.1</v>
      </c>
      <c r="AG530">
        <f t="shared" si="280"/>
        <v>0</v>
      </c>
      <c r="AH530">
        <f t="shared" si="281"/>
        <v>2.97</v>
      </c>
      <c r="AI530">
        <f t="shared" si="282"/>
        <v>0</v>
      </c>
      <c r="AJ530">
        <f t="shared" si="283"/>
        <v>0</v>
      </c>
      <c r="AK530">
        <v>6946.74</v>
      </c>
      <c r="AL530">
        <v>5687.37</v>
      </c>
      <c r="AM530">
        <v>464.27</v>
      </c>
      <c r="AN530">
        <v>295.98</v>
      </c>
      <c r="AO530">
        <v>795.1</v>
      </c>
      <c r="AP530">
        <v>0</v>
      </c>
      <c r="AQ530">
        <v>2.97</v>
      </c>
      <c r="AR530">
        <v>0</v>
      </c>
      <c r="AS530">
        <v>0</v>
      </c>
      <c r="AT530">
        <v>70</v>
      </c>
      <c r="AU530">
        <v>10</v>
      </c>
      <c r="AV530">
        <v>1</v>
      </c>
      <c r="AW530">
        <v>1</v>
      </c>
      <c r="AZ530">
        <v>1</v>
      </c>
      <c r="BA530">
        <v>1</v>
      </c>
      <c r="BB530">
        <v>1</v>
      </c>
      <c r="BC530">
        <v>1</v>
      </c>
      <c r="BD530" t="s">
        <v>3</v>
      </c>
      <c r="BE530" t="s">
        <v>3</v>
      </c>
      <c r="BF530" t="s">
        <v>3</v>
      </c>
      <c r="BG530" t="s">
        <v>3</v>
      </c>
      <c r="BH530">
        <v>0</v>
      </c>
      <c r="BI530">
        <v>4</v>
      </c>
      <c r="BJ530" t="s">
        <v>290</v>
      </c>
      <c r="BM530">
        <v>0</v>
      </c>
      <c r="BN530">
        <v>0</v>
      </c>
      <c r="BO530" t="s">
        <v>3</v>
      </c>
      <c r="BP530">
        <v>0</v>
      </c>
      <c r="BQ530">
        <v>1</v>
      </c>
      <c r="BR530">
        <v>0</v>
      </c>
      <c r="BS530">
        <v>1</v>
      </c>
      <c r="BT530">
        <v>1</v>
      </c>
      <c r="BU530">
        <v>1</v>
      </c>
      <c r="BV530">
        <v>1</v>
      </c>
      <c r="BW530">
        <v>1</v>
      </c>
      <c r="BX530">
        <v>1</v>
      </c>
      <c r="BY530" t="s">
        <v>3</v>
      </c>
      <c r="BZ530">
        <v>70</v>
      </c>
      <c r="CA530">
        <v>10</v>
      </c>
      <c r="CE530">
        <v>0</v>
      </c>
      <c r="CF530">
        <v>0</v>
      </c>
      <c r="CG530">
        <v>0</v>
      </c>
      <c r="CM530">
        <v>0</v>
      </c>
      <c r="CN530" t="s">
        <v>3</v>
      </c>
      <c r="CO530">
        <v>0</v>
      </c>
      <c r="CP530">
        <f t="shared" si="284"/>
        <v>69467.399999999994</v>
      </c>
      <c r="CQ530">
        <f t="shared" si="285"/>
        <v>5687.37</v>
      </c>
      <c r="CR530">
        <f t="shared" si="286"/>
        <v>464.27</v>
      </c>
      <c r="CS530">
        <f t="shared" si="287"/>
        <v>295.98</v>
      </c>
      <c r="CT530">
        <f t="shared" si="288"/>
        <v>795.1</v>
      </c>
      <c r="CU530">
        <f t="shared" si="289"/>
        <v>0</v>
      </c>
      <c r="CV530">
        <f t="shared" si="290"/>
        <v>2.97</v>
      </c>
      <c r="CW530">
        <f t="shared" si="291"/>
        <v>0</v>
      </c>
      <c r="CX530">
        <f t="shared" si="292"/>
        <v>0</v>
      </c>
      <c r="CY530">
        <f t="shared" si="293"/>
        <v>5565.7</v>
      </c>
      <c r="CZ530">
        <f t="shared" si="294"/>
        <v>795.1</v>
      </c>
      <c r="DC530" t="s">
        <v>3</v>
      </c>
      <c r="DD530" t="s">
        <v>3</v>
      </c>
      <c r="DE530" t="s">
        <v>3</v>
      </c>
      <c r="DF530" t="s">
        <v>3</v>
      </c>
      <c r="DG530" t="s">
        <v>3</v>
      </c>
      <c r="DH530" t="s">
        <v>3</v>
      </c>
      <c r="DI530" t="s">
        <v>3</v>
      </c>
      <c r="DJ530" t="s">
        <v>3</v>
      </c>
      <c r="DK530" t="s">
        <v>3</v>
      </c>
      <c r="DL530" t="s">
        <v>3</v>
      </c>
      <c r="DM530" t="s">
        <v>3</v>
      </c>
      <c r="DN530">
        <v>0</v>
      </c>
      <c r="DO530">
        <v>0</v>
      </c>
      <c r="DP530">
        <v>1</v>
      </c>
      <c r="DQ530">
        <v>1</v>
      </c>
      <c r="DU530">
        <v>1005</v>
      </c>
      <c r="DV530" t="s">
        <v>289</v>
      </c>
      <c r="DW530" t="s">
        <v>289</v>
      </c>
      <c r="DX530">
        <v>1</v>
      </c>
      <c r="EE530">
        <v>38447819</v>
      </c>
      <c r="EF530">
        <v>1</v>
      </c>
      <c r="EG530" t="s">
        <v>23</v>
      </c>
      <c r="EH530">
        <v>0</v>
      </c>
      <c r="EI530" t="s">
        <v>3</v>
      </c>
      <c r="EJ530">
        <v>4</v>
      </c>
      <c r="EK530">
        <v>0</v>
      </c>
      <c r="EL530" t="s">
        <v>24</v>
      </c>
      <c r="EM530" t="s">
        <v>25</v>
      </c>
      <c r="EO530" t="s">
        <v>3</v>
      </c>
      <c r="EQ530">
        <v>0</v>
      </c>
      <c r="ER530">
        <v>6946.74</v>
      </c>
      <c r="ES530">
        <v>5687.37</v>
      </c>
      <c r="ET530">
        <v>464.27</v>
      </c>
      <c r="EU530">
        <v>295.98</v>
      </c>
      <c r="EV530">
        <v>795.1</v>
      </c>
      <c r="EW530">
        <v>2.97</v>
      </c>
      <c r="EX530">
        <v>0</v>
      </c>
      <c r="EY530">
        <v>0</v>
      </c>
      <c r="FQ530">
        <v>0</v>
      </c>
      <c r="FR530">
        <f t="shared" si="295"/>
        <v>0</v>
      </c>
      <c r="FS530">
        <v>0</v>
      </c>
      <c r="FX530">
        <v>70</v>
      </c>
      <c r="FY530">
        <v>10</v>
      </c>
      <c r="GA530" t="s">
        <v>3</v>
      </c>
      <c r="GD530">
        <v>0</v>
      </c>
      <c r="GF530">
        <v>-1372426727</v>
      </c>
      <c r="GG530">
        <v>2</v>
      </c>
      <c r="GH530">
        <v>1</v>
      </c>
      <c r="GI530">
        <v>-2</v>
      </c>
      <c r="GJ530">
        <v>0</v>
      </c>
      <c r="GK530">
        <f>ROUND(R530*(R12)/100,2)</f>
        <v>3196.58</v>
      </c>
      <c r="GL530">
        <f t="shared" si="296"/>
        <v>0</v>
      </c>
      <c r="GM530">
        <f t="shared" si="297"/>
        <v>79024.78</v>
      </c>
      <c r="GN530">
        <f t="shared" si="298"/>
        <v>0</v>
      </c>
      <c r="GO530">
        <f t="shared" si="299"/>
        <v>0</v>
      </c>
      <c r="GP530">
        <f t="shared" si="300"/>
        <v>79024.78</v>
      </c>
      <c r="GR530">
        <v>0</v>
      </c>
      <c r="GS530">
        <v>3</v>
      </c>
      <c r="GT530">
        <v>0</v>
      </c>
      <c r="GU530" t="s">
        <v>3</v>
      </c>
      <c r="GV530">
        <f t="shared" si="301"/>
        <v>0</v>
      </c>
      <c r="GW530">
        <v>1</v>
      </c>
      <c r="GX530">
        <f t="shared" si="302"/>
        <v>0</v>
      </c>
      <c r="HA530">
        <v>0</v>
      </c>
      <c r="HB530">
        <v>0</v>
      </c>
      <c r="HC530">
        <f t="shared" si="303"/>
        <v>0</v>
      </c>
      <c r="HE530" t="s">
        <v>3</v>
      </c>
      <c r="HF530" t="s">
        <v>3</v>
      </c>
      <c r="IK530">
        <v>0</v>
      </c>
    </row>
    <row r="531" spans="1:245" x14ac:dyDescent="0.2">
      <c r="A531">
        <v>17</v>
      </c>
      <c r="B531">
        <v>1</v>
      </c>
      <c r="C531">
        <f>ROW(SmtRes!A291)</f>
        <v>291</v>
      </c>
      <c r="D531">
        <f>ROW(EtalonRes!A260)</f>
        <v>260</v>
      </c>
      <c r="E531" t="s">
        <v>313</v>
      </c>
      <c r="F531" t="s">
        <v>314</v>
      </c>
      <c r="G531" t="s">
        <v>315</v>
      </c>
      <c r="H531" t="s">
        <v>19</v>
      </c>
      <c r="I531">
        <f>ROUND(452/100,9)</f>
        <v>4.5199999999999996</v>
      </c>
      <c r="J531">
        <v>0</v>
      </c>
      <c r="O531">
        <f t="shared" si="264"/>
        <v>76289.37</v>
      </c>
      <c r="P531">
        <f t="shared" si="265"/>
        <v>5908.18</v>
      </c>
      <c r="Q531">
        <f t="shared" si="266"/>
        <v>0</v>
      </c>
      <c r="R531">
        <f t="shared" si="267"/>
        <v>0</v>
      </c>
      <c r="S531">
        <f t="shared" si="268"/>
        <v>70381.19</v>
      </c>
      <c r="T531">
        <f t="shared" si="269"/>
        <v>0</v>
      </c>
      <c r="U531">
        <f t="shared" si="270"/>
        <v>333.57599999999996</v>
      </c>
      <c r="V531">
        <f t="shared" si="271"/>
        <v>0</v>
      </c>
      <c r="W531">
        <f t="shared" si="272"/>
        <v>0</v>
      </c>
      <c r="X531">
        <f t="shared" si="273"/>
        <v>49266.83</v>
      </c>
      <c r="Y531">
        <f t="shared" si="274"/>
        <v>7038.12</v>
      </c>
      <c r="AA531">
        <v>38799519</v>
      </c>
      <c r="AB531">
        <f t="shared" si="275"/>
        <v>16878.18</v>
      </c>
      <c r="AC531">
        <f t="shared" si="276"/>
        <v>1307.1199999999999</v>
      </c>
      <c r="AD531">
        <f t="shared" si="277"/>
        <v>0</v>
      </c>
      <c r="AE531">
        <f t="shared" si="278"/>
        <v>0</v>
      </c>
      <c r="AF531">
        <f t="shared" si="279"/>
        <v>15571.06</v>
      </c>
      <c r="AG531">
        <f t="shared" si="280"/>
        <v>0</v>
      </c>
      <c r="AH531">
        <f t="shared" si="281"/>
        <v>73.8</v>
      </c>
      <c r="AI531">
        <f t="shared" si="282"/>
        <v>0</v>
      </c>
      <c r="AJ531">
        <f t="shared" si="283"/>
        <v>0</v>
      </c>
      <c r="AK531">
        <v>16878.18</v>
      </c>
      <c r="AL531">
        <v>1307.1199999999999</v>
      </c>
      <c r="AM531">
        <v>0</v>
      </c>
      <c r="AN531">
        <v>0</v>
      </c>
      <c r="AO531">
        <v>15571.06</v>
      </c>
      <c r="AP531">
        <v>0</v>
      </c>
      <c r="AQ531">
        <v>73.8</v>
      </c>
      <c r="AR531">
        <v>0</v>
      </c>
      <c r="AS531">
        <v>0</v>
      </c>
      <c r="AT531">
        <v>70</v>
      </c>
      <c r="AU531">
        <v>10</v>
      </c>
      <c r="AV531">
        <v>1</v>
      </c>
      <c r="AW531">
        <v>1</v>
      </c>
      <c r="AZ531">
        <v>1</v>
      </c>
      <c r="BA531">
        <v>1</v>
      </c>
      <c r="BB531">
        <v>1</v>
      </c>
      <c r="BC531">
        <v>1</v>
      </c>
      <c r="BD531" t="s">
        <v>3</v>
      </c>
      <c r="BE531" t="s">
        <v>3</v>
      </c>
      <c r="BF531" t="s">
        <v>3</v>
      </c>
      <c r="BG531" t="s">
        <v>3</v>
      </c>
      <c r="BH531">
        <v>0</v>
      </c>
      <c r="BI531">
        <v>4</v>
      </c>
      <c r="BJ531" t="s">
        <v>316</v>
      </c>
      <c r="BM531">
        <v>0</v>
      </c>
      <c r="BN531">
        <v>0</v>
      </c>
      <c r="BO531" t="s">
        <v>3</v>
      </c>
      <c r="BP531">
        <v>0</v>
      </c>
      <c r="BQ531">
        <v>1</v>
      </c>
      <c r="BR531">
        <v>0</v>
      </c>
      <c r="BS531">
        <v>1</v>
      </c>
      <c r="BT531">
        <v>1</v>
      </c>
      <c r="BU531">
        <v>1</v>
      </c>
      <c r="BV531">
        <v>1</v>
      </c>
      <c r="BW531">
        <v>1</v>
      </c>
      <c r="BX531">
        <v>1</v>
      </c>
      <c r="BY531" t="s">
        <v>3</v>
      </c>
      <c r="BZ531">
        <v>70</v>
      </c>
      <c r="CA531">
        <v>10</v>
      </c>
      <c r="CE531">
        <v>0</v>
      </c>
      <c r="CF531">
        <v>0</v>
      </c>
      <c r="CG531">
        <v>0</v>
      </c>
      <c r="CM531">
        <v>0</v>
      </c>
      <c r="CN531" t="s">
        <v>3</v>
      </c>
      <c r="CO531">
        <v>0</v>
      </c>
      <c r="CP531">
        <f t="shared" si="284"/>
        <v>76289.37</v>
      </c>
      <c r="CQ531">
        <f t="shared" si="285"/>
        <v>1307.1199999999999</v>
      </c>
      <c r="CR531">
        <f t="shared" si="286"/>
        <v>0</v>
      </c>
      <c r="CS531">
        <f t="shared" si="287"/>
        <v>0</v>
      </c>
      <c r="CT531">
        <f t="shared" si="288"/>
        <v>15571.06</v>
      </c>
      <c r="CU531">
        <f t="shared" si="289"/>
        <v>0</v>
      </c>
      <c r="CV531">
        <f t="shared" si="290"/>
        <v>73.8</v>
      </c>
      <c r="CW531">
        <f t="shared" si="291"/>
        <v>0</v>
      </c>
      <c r="CX531">
        <f t="shared" si="292"/>
        <v>0</v>
      </c>
      <c r="CY531">
        <f t="shared" si="293"/>
        <v>49266.832999999999</v>
      </c>
      <c r="CZ531">
        <f t="shared" si="294"/>
        <v>7038.1190000000006</v>
      </c>
      <c r="DC531" t="s">
        <v>3</v>
      </c>
      <c r="DD531" t="s">
        <v>3</v>
      </c>
      <c r="DE531" t="s">
        <v>3</v>
      </c>
      <c r="DF531" t="s">
        <v>3</v>
      </c>
      <c r="DG531" t="s">
        <v>3</v>
      </c>
      <c r="DH531" t="s">
        <v>3</v>
      </c>
      <c r="DI531" t="s">
        <v>3</v>
      </c>
      <c r="DJ531" t="s">
        <v>3</v>
      </c>
      <c r="DK531" t="s">
        <v>3</v>
      </c>
      <c r="DL531" t="s">
        <v>3</v>
      </c>
      <c r="DM531" t="s">
        <v>3</v>
      </c>
      <c r="DN531">
        <v>0</v>
      </c>
      <c r="DO531">
        <v>0</v>
      </c>
      <c r="DP531">
        <v>1</v>
      </c>
      <c r="DQ531">
        <v>1</v>
      </c>
      <c r="DU531">
        <v>1005</v>
      </c>
      <c r="DV531" t="s">
        <v>19</v>
      </c>
      <c r="DW531" t="s">
        <v>19</v>
      </c>
      <c r="DX531">
        <v>100</v>
      </c>
      <c r="EE531">
        <v>38447819</v>
      </c>
      <c r="EF531">
        <v>1</v>
      </c>
      <c r="EG531" t="s">
        <v>23</v>
      </c>
      <c r="EH531">
        <v>0</v>
      </c>
      <c r="EI531" t="s">
        <v>3</v>
      </c>
      <c r="EJ531">
        <v>4</v>
      </c>
      <c r="EK531">
        <v>0</v>
      </c>
      <c r="EL531" t="s">
        <v>24</v>
      </c>
      <c r="EM531" t="s">
        <v>25</v>
      </c>
      <c r="EO531" t="s">
        <v>3</v>
      </c>
      <c r="EQ531">
        <v>0</v>
      </c>
      <c r="ER531">
        <v>16878.18</v>
      </c>
      <c r="ES531">
        <v>1307.1199999999999</v>
      </c>
      <c r="ET531">
        <v>0</v>
      </c>
      <c r="EU531">
        <v>0</v>
      </c>
      <c r="EV531">
        <v>15571.06</v>
      </c>
      <c r="EW531">
        <v>73.8</v>
      </c>
      <c r="EX531">
        <v>0</v>
      </c>
      <c r="EY531">
        <v>0</v>
      </c>
      <c r="FQ531">
        <v>0</v>
      </c>
      <c r="FR531">
        <f t="shared" si="295"/>
        <v>0</v>
      </c>
      <c r="FS531">
        <v>0</v>
      </c>
      <c r="FX531">
        <v>70</v>
      </c>
      <c r="FY531">
        <v>10</v>
      </c>
      <c r="GA531" t="s">
        <v>3</v>
      </c>
      <c r="GD531">
        <v>0</v>
      </c>
      <c r="GF531">
        <v>1902062173</v>
      </c>
      <c r="GG531">
        <v>2</v>
      </c>
      <c r="GH531">
        <v>1</v>
      </c>
      <c r="GI531">
        <v>-2</v>
      </c>
      <c r="GJ531">
        <v>0</v>
      </c>
      <c r="GK531">
        <f>ROUND(R531*(R12)/100,2)</f>
        <v>0</v>
      </c>
      <c r="GL531">
        <f t="shared" si="296"/>
        <v>0</v>
      </c>
      <c r="GM531">
        <f t="shared" si="297"/>
        <v>132594.32</v>
      </c>
      <c r="GN531">
        <f t="shared" si="298"/>
        <v>0</v>
      </c>
      <c r="GO531">
        <f t="shared" si="299"/>
        <v>0</v>
      </c>
      <c r="GP531">
        <f t="shared" si="300"/>
        <v>132594.32</v>
      </c>
      <c r="GR531">
        <v>0</v>
      </c>
      <c r="GS531">
        <v>3</v>
      </c>
      <c r="GT531">
        <v>0</v>
      </c>
      <c r="GU531" t="s">
        <v>3</v>
      </c>
      <c r="GV531">
        <f t="shared" si="301"/>
        <v>0</v>
      </c>
      <c r="GW531">
        <v>1</v>
      </c>
      <c r="GX531">
        <f t="shared" si="302"/>
        <v>0</v>
      </c>
      <c r="HA531">
        <v>0</v>
      </c>
      <c r="HB531">
        <v>0</v>
      </c>
      <c r="HC531">
        <f t="shared" si="303"/>
        <v>0</v>
      </c>
      <c r="HE531" t="s">
        <v>3</v>
      </c>
      <c r="HF531" t="s">
        <v>3</v>
      </c>
      <c r="IK531">
        <v>0</v>
      </c>
    </row>
    <row r="532" spans="1:245" x14ac:dyDescent="0.2">
      <c r="A532">
        <v>17</v>
      </c>
      <c r="B532">
        <v>1</v>
      </c>
      <c r="C532">
        <f>ROW(SmtRes!A305)</f>
        <v>305</v>
      </c>
      <c r="D532">
        <f>ROW(EtalonRes!A274)</f>
        <v>274</v>
      </c>
      <c r="E532" t="s">
        <v>317</v>
      </c>
      <c r="F532" t="s">
        <v>318</v>
      </c>
      <c r="G532" t="s">
        <v>319</v>
      </c>
      <c r="H532" t="s">
        <v>19</v>
      </c>
      <c r="I532">
        <f>ROUND(452/100,9)</f>
        <v>4.5199999999999996</v>
      </c>
      <c r="J532">
        <v>0</v>
      </c>
      <c r="O532">
        <f t="shared" si="264"/>
        <v>426901.84</v>
      </c>
      <c r="P532">
        <f t="shared" si="265"/>
        <v>333716.12</v>
      </c>
      <c r="Q532">
        <f t="shared" si="266"/>
        <v>499.73</v>
      </c>
      <c r="R532">
        <f t="shared" si="267"/>
        <v>53.2</v>
      </c>
      <c r="S532">
        <f t="shared" si="268"/>
        <v>92685.99</v>
      </c>
      <c r="T532">
        <f t="shared" si="269"/>
        <v>0</v>
      </c>
      <c r="U532">
        <f t="shared" si="270"/>
        <v>411.31999999999994</v>
      </c>
      <c r="V532">
        <f t="shared" si="271"/>
        <v>0</v>
      </c>
      <c r="W532">
        <f t="shared" si="272"/>
        <v>0</v>
      </c>
      <c r="X532">
        <f t="shared" si="273"/>
        <v>64880.19</v>
      </c>
      <c r="Y532">
        <f t="shared" si="274"/>
        <v>9268.6</v>
      </c>
      <c r="AA532">
        <v>38799519</v>
      </c>
      <c r="AB532">
        <f t="shared" si="275"/>
        <v>94447.31</v>
      </c>
      <c r="AC532">
        <f t="shared" si="276"/>
        <v>73831</v>
      </c>
      <c r="AD532">
        <f t="shared" si="277"/>
        <v>110.56</v>
      </c>
      <c r="AE532">
        <f t="shared" si="278"/>
        <v>11.77</v>
      </c>
      <c r="AF532">
        <f t="shared" si="279"/>
        <v>20505.75</v>
      </c>
      <c r="AG532">
        <f t="shared" si="280"/>
        <v>0</v>
      </c>
      <c r="AH532">
        <f t="shared" si="281"/>
        <v>91</v>
      </c>
      <c r="AI532">
        <f t="shared" si="282"/>
        <v>0</v>
      </c>
      <c r="AJ532">
        <f t="shared" si="283"/>
        <v>0</v>
      </c>
      <c r="AK532">
        <v>94447.31</v>
      </c>
      <c r="AL532">
        <v>73831</v>
      </c>
      <c r="AM532">
        <v>110.56</v>
      </c>
      <c r="AN532">
        <v>11.77</v>
      </c>
      <c r="AO532">
        <v>20505.75</v>
      </c>
      <c r="AP532">
        <v>0</v>
      </c>
      <c r="AQ532">
        <v>91</v>
      </c>
      <c r="AR532">
        <v>0</v>
      </c>
      <c r="AS532">
        <v>0</v>
      </c>
      <c r="AT532">
        <v>70</v>
      </c>
      <c r="AU532">
        <v>10</v>
      </c>
      <c r="AV532">
        <v>1</v>
      </c>
      <c r="AW532">
        <v>1</v>
      </c>
      <c r="AZ532">
        <v>1</v>
      </c>
      <c r="BA532">
        <v>1</v>
      </c>
      <c r="BB532">
        <v>1</v>
      </c>
      <c r="BC532">
        <v>1</v>
      </c>
      <c r="BD532" t="s">
        <v>3</v>
      </c>
      <c r="BE532" t="s">
        <v>3</v>
      </c>
      <c r="BF532" t="s">
        <v>3</v>
      </c>
      <c r="BG532" t="s">
        <v>3</v>
      </c>
      <c r="BH532">
        <v>0</v>
      </c>
      <c r="BI532">
        <v>4</v>
      </c>
      <c r="BJ532" t="s">
        <v>320</v>
      </c>
      <c r="BM532">
        <v>0</v>
      </c>
      <c r="BN532">
        <v>0</v>
      </c>
      <c r="BO532" t="s">
        <v>3</v>
      </c>
      <c r="BP532">
        <v>0</v>
      </c>
      <c r="BQ532">
        <v>1</v>
      </c>
      <c r="BR532">
        <v>0</v>
      </c>
      <c r="BS532">
        <v>1</v>
      </c>
      <c r="BT532">
        <v>1</v>
      </c>
      <c r="BU532">
        <v>1</v>
      </c>
      <c r="BV532">
        <v>1</v>
      </c>
      <c r="BW532">
        <v>1</v>
      </c>
      <c r="BX532">
        <v>1</v>
      </c>
      <c r="BY532" t="s">
        <v>3</v>
      </c>
      <c r="BZ532">
        <v>70</v>
      </c>
      <c r="CA532">
        <v>10</v>
      </c>
      <c r="CE532">
        <v>0</v>
      </c>
      <c r="CF532">
        <v>0</v>
      </c>
      <c r="CG532">
        <v>0</v>
      </c>
      <c r="CM532">
        <v>0</v>
      </c>
      <c r="CN532" t="s">
        <v>3</v>
      </c>
      <c r="CO532">
        <v>0</v>
      </c>
      <c r="CP532">
        <f t="shared" si="284"/>
        <v>426901.83999999997</v>
      </c>
      <c r="CQ532">
        <f t="shared" si="285"/>
        <v>73831</v>
      </c>
      <c r="CR532">
        <f t="shared" si="286"/>
        <v>110.56</v>
      </c>
      <c r="CS532">
        <f t="shared" si="287"/>
        <v>11.77</v>
      </c>
      <c r="CT532">
        <f t="shared" si="288"/>
        <v>20505.75</v>
      </c>
      <c r="CU532">
        <f t="shared" si="289"/>
        <v>0</v>
      </c>
      <c r="CV532">
        <f t="shared" si="290"/>
        <v>91</v>
      </c>
      <c r="CW532">
        <f t="shared" si="291"/>
        <v>0</v>
      </c>
      <c r="CX532">
        <f t="shared" si="292"/>
        <v>0</v>
      </c>
      <c r="CY532">
        <f t="shared" si="293"/>
        <v>64880.193000000007</v>
      </c>
      <c r="CZ532">
        <f t="shared" si="294"/>
        <v>9268.5990000000002</v>
      </c>
      <c r="DC532" t="s">
        <v>3</v>
      </c>
      <c r="DD532" t="s">
        <v>3</v>
      </c>
      <c r="DE532" t="s">
        <v>3</v>
      </c>
      <c r="DF532" t="s">
        <v>3</v>
      </c>
      <c r="DG532" t="s">
        <v>3</v>
      </c>
      <c r="DH532" t="s">
        <v>3</v>
      </c>
      <c r="DI532" t="s">
        <v>3</v>
      </c>
      <c r="DJ532" t="s">
        <v>3</v>
      </c>
      <c r="DK532" t="s">
        <v>3</v>
      </c>
      <c r="DL532" t="s">
        <v>3</v>
      </c>
      <c r="DM532" t="s">
        <v>3</v>
      </c>
      <c r="DN532">
        <v>0</v>
      </c>
      <c r="DO532">
        <v>0</v>
      </c>
      <c r="DP532">
        <v>1</v>
      </c>
      <c r="DQ532">
        <v>1</v>
      </c>
      <c r="DU532">
        <v>1005</v>
      </c>
      <c r="DV532" t="s">
        <v>19</v>
      </c>
      <c r="DW532" t="s">
        <v>19</v>
      </c>
      <c r="DX532">
        <v>100</v>
      </c>
      <c r="EE532">
        <v>38447819</v>
      </c>
      <c r="EF532">
        <v>1</v>
      </c>
      <c r="EG532" t="s">
        <v>23</v>
      </c>
      <c r="EH532">
        <v>0</v>
      </c>
      <c r="EI532" t="s">
        <v>3</v>
      </c>
      <c r="EJ532">
        <v>4</v>
      </c>
      <c r="EK532">
        <v>0</v>
      </c>
      <c r="EL532" t="s">
        <v>24</v>
      </c>
      <c r="EM532" t="s">
        <v>25</v>
      </c>
      <c r="EO532" t="s">
        <v>3</v>
      </c>
      <c r="EQ532">
        <v>0</v>
      </c>
      <c r="ER532">
        <v>94447.31</v>
      </c>
      <c r="ES532">
        <v>73831</v>
      </c>
      <c r="ET532">
        <v>110.56</v>
      </c>
      <c r="EU532">
        <v>11.77</v>
      </c>
      <c r="EV532">
        <v>20505.75</v>
      </c>
      <c r="EW532">
        <v>91</v>
      </c>
      <c r="EX532">
        <v>0</v>
      </c>
      <c r="EY532">
        <v>0</v>
      </c>
      <c r="FQ532">
        <v>0</v>
      </c>
      <c r="FR532">
        <f t="shared" si="295"/>
        <v>0</v>
      </c>
      <c r="FS532">
        <v>0</v>
      </c>
      <c r="FX532">
        <v>70</v>
      </c>
      <c r="FY532">
        <v>10</v>
      </c>
      <c r="GA532" t="s">
        <v>3</v>
      </c>
      <c r="GD532">
        <v>0</v>
      </c>
      <c r="GF532">
        <v>-1449494989</v>
      </c>
      <c r="GG532">
        <v>2</v>
      </c>
      <c r="GH532">
        <v>1</v>
      </c>
      <c r="GI532">
        <v>-2</v>
      </c>
      <c r="GJ532">
        <v>0</v>
      </c>
      <c r="GK532">
        <f>ROUND(R532*(R12)/100,2)</f>
        <v>57.46</v>
      </c>
      <c r="GL532">
        <f t="shared" si="296"/>
        <v>0</v>
      </c>
      <c r="GM532">
        <f t="shared" si="297"/>
        <v>501108.09</v>
      </c>
      <c r="GN532">
        <f t="shared" si="298"/>
        <v>0</v>
      </c>
      <c r="GO532">
        <f t="shared" si="299"/>
        <v>0</v>
      </c>
      <c r="GP532">
        <f t="shared" si="300"/>
        <v>501108.09</v>
      </c>
      <c r="GR532">
        <v>0</v>
      </c>
      <c r="GS532">
        <v>3</v>
      </c>
      <c r="GT532">
        <v>0</v>
      </c>
      <c r="GU532" t="s">
        <v>3</v>
      </c>
      <c r="GV532">
        <f t="shared" si="301"/>
        <v>0</v>
      </c>
      <c r="GW532">
        <v>1</v>
      </c>
      <c r="GX532">
        <f t="shared" si="302"/>
        <v>0</v>
      </c>
      <c r="HA532">
        <v>0</v>
      </c>
      <c r="HB532">
        <v>0</v>
      </c>
      <c r="HC532">
        <f t="shared" si="303"/>
        <v>0</v>
      </c>
      <c r="HE532" t="s">
        <v>3</v>
      </c>
      <c r="HF532" t="s">
        <v>3</v>
      </c>
      <c r="IK532">
        <v>0</v>
      </c>
    </row>
    <row r="533" spans="1:245" x14ac:dyDescent="0.2">
      <c r="A533">
        <v>17</v>
      </c>
      <c r="B533">
        <v>1</v>
      </c>
      <c r="C533">
        <f>ROW(SmtRes!A306)</f>
        <v>306</v>
      </c>
      <c r="D533">
        <f>ROW(EtalonRes!A275)</f>
        <v>275</v>
      </c>
      <c r="E533" t="s">
        <v>321</v>
      </c>
      <c r="F533" t="s">
        <v>322</v>
      </c>
      <c r="G533" t="s">
        <v>323</v>
      </c>
      <c r="H533" t="s">
        <v>198</v>
      </c>
      <c r="I533">
        <v>1</v>
      </c>
      <c r="J533">
        <v>0</v>
      </c>
      <c r="O533">
        <f t="shared" si="264"/>
        <v>257.86</v>
      </c>
      <c r="P533">
        <f t="shared" si="265"/>
        <v>0</v>
      </c>
      <c r="Q533">
        <f t="shared" si="266"/>
        <v>0</v>
      </c>
      <c r="R533">
        <f t="shared" si="267"/>
        <v>0</v>
      </c>
      <c r="S533">
        <f t="shared" si="268"/>
        <v>257.86</v>
      </c>
      <c r="T533">
        <f t="shared" si="269"/>
        <v>0</v>
      </c>
      <c r="U533">
        <f t="shared" si="270"/>
        <v>1.1499999999999999</v>
      </c>
      <c r="V533">
        <f t="shared" si="271"/>
        <v>0</v>
      </c>
      <c r="W533">
        <f t="shared" si="272"/>
        <v>0</v>
      </c>
      <c r="X533">
        <f t="shared" si="273"/>
        <v>180.5</v>
      </c>
      <c r="Y533">
        <f t="shared" si="274"/>
        <v>25.79</v>
      </c>
      <c r="AA533">
        <v>38799519</v>
      </c>
      <c r="AB533">
        <f t="shared" si="275"/>
        <v>257.86</v>
      </c>
      <c r="AC533">
        <f t="shared" si="276"/>
        <v>0</v>
      </c>
      <c r="AD533">
        <f t="shared" si="277"/>
        <v>0</v>
      </c>
      <c r="AE533">
        <f t="shared" si="278"/>
        <v>0</v>
      </c>
      <c r="AF533">
        <f t="shared" si="279"/>
        <v>257.86</v>
      </c>
      <c r="AG533">
        <f t="shared" si="280"/>
        <v>0</v>
      </c>
      <c r="AH533">
        <f t="shared" si="281"/>
        <v>1.1499999999999999</v>
      </c>
      <c r="AI533">
        <f t="shared" si="282"/>
        <v>0</v>
      </c>
      <c r="AJ533">
        <f t="shared" si="283"/>
        <v>0</v>
      </c>
      <c r="AK533">
        <v>257.86</v>
      </c>
      <c r="AL533">
        <v>0</v>
      </c>
      <c r="AM533">
        <v>0</v>
      </c>
      <c r="AN533">
        <v>0</v>
      </c>
      <c r="AO533">
        <v>257.86</v>
      </c>
      <c r="AP533">
        <v>0</v>
      </c>
      <c r="AQ533">
        <v>1.1499999999999999</v>
      </c>
      <c r="AR533">
        <v>0</v>
      </c>
      <c r="AS533">
        <v>0</v>
      </c>
      <c r="AT533">
        <v>70</v>
      </c>
      <c r="AU533">
        <v>10</v>
      </c>
      <c r="AV533">
        <v>1</v>
      </c>
      <c r="AW533">
        <v>1</v>
      </c>
      <c r="AZ533">
        <v>1</v>
      </c>
      <c r="BA533">
        <v>1</v>
      </c>
      <c r="BB533">
        <v>1</v>
      </c>
      <c r="BC533">
        <v>1</v>
      </c>
      <c r="BD533" t="s">
        <v>3</v>
      </c>
      <c r="BE533" t="s">
        <v>3</v>
      </c>
      <c r="BF533" t="s">
        <v>3</v>
      </c>
      <c r="BG533" t="s">
        <v>3</v>
      </c>
      <c r="BH533">
        <v>0</v>
      </c>
      <c r="BI533">
        <v>4</v>
      </c>
      <c r="BJ533" t="s">
        <v>324</v>
      </c>
      <c r="BM533">
        <v>0</v>
      </c>
      <c r="BN533">
        <v>0</v>
      </c>
      <c r="BO533" t="s">
        <v>3</v>
      </c>
      <c r="BP533">
        <v>0</v>
      </c>
      <c r="BQ533">
        <v>1</v>
      </c>
      <c r="BR533">
        <v>0</v>
      </c>
      <c r="BS533">
        <v>1</v>
      </c>
      <c r="BT533">
        <v>1</v>
      </c>
      <c r="BU533">
        <v>1</v>
      </c>
      <c r="BV533">
        <v>1</v>
      </c>
      <c r="BW533">
        <v>1</v>
      </c>
      <c r="BX533">
        <v>1</v>
      </c>
      <c r="BY533" t="s">
        <v>3</v>
      </c>
      <c r="BZ533">
        <v>70</v>
      </c>
      <c r="CA533">
        <v>10</v>
      </c>
      <c r="CE533">
        <v>0</v>
      </c>
      <c r="CF533">
        <v>0</v>
      </c>
      <c r="CG533">
        <v>0</v>
      </c>
      <c r="CM533">
        <v>0</v>
      </c>
      <c r="CN533" t="s">
        <v>3</v>
      </c>
      <c r="CO533">
        <v>0</v>
      </c>
      <c r="CP533">
        <f t="shared" si="284"/>
        <v>257.86</v>
      </c>
      <c r="CQ533">
        <f t="shared" si="285"/>
        <v>0</v>
      </c>
      <c r="CR533">
        <f t="shared" si="286"/>
        <v>0</v>
      </c>
      <c r="CS533">
        <f t="shared" si="287"/>
        <v>0</v>
      </c>
      <c r="CT533">
        <f t="shared" si="288"/>
        <v>257.86</v>
      </c>
      <c r="CU533">
        <f t="shared" si="289"/>
        <v>0</v>
      </c>
      <c r="CV533">
        <f t="shared" si="290"/>
        <v>1.1499999999999999</v>
      </c>
      <c r="CW533">
        <f t="shared" si="291"/>
        <v>0</v>
      </c>
      <c r="CX533">
        <f t="shared" si="292"/>
        <v>0</v>
      </c>
      <c r="CY533">
        <f t="shared" si="293"/>
        <v>180.50200000000001</v>
      </c>
      <c r="CZ533">
        <f t="shared" si="294"/>
        <v>25.786000000000005</v>
      </c>
      <c r="DC533" t="s">
        <v>3</v>
      </c>
      <c r="DD533" t="s">
        <v>3</v>
      </c>
      <c r="DE533" t="s">
        <v>3</v>
      </c>
      <c r="DF533" t="s">
        <v>3</v>
      </c>
      <c r="DG533" t="s">
        <v>3</v>
      </c>
      <c r="DH533" t="s">
        <v>3</v>
      </c>
      <c r="DI533" t="s">
        <v>3</v>
      </c>
      <c r="DJ533" t="s">
        <v>3</v>
      </c>
      <c r="DK533" t="s">
        <v>3</v>
      </c>
      <c r="DL533" t="s">
        <v>3</v>
      </c>
      <c r="DM533" t="s">
        <v>3</v>
      </c>
      <c r="DN533">
        <v>0</v>
      </c>
      <c r="DO533">
        <v>0</v>
      </c>
      <c r="DP533">
        <v>1</v>
      </c>
      <c r="DQ533">
        <v>1</v>
      </c>
      <c r="DU533">
        <v>1010</v>
      </c>
      <c r="DV533" t="s">
        <v>198</v>
      </c>
      <c r="DW533" t="s">
        <v>198</v>
      </c>
      <c r="DX533">
        <v>1</v>
      </c>
      <c r="EE533">
        <v>38447819</v>
      </c>
      <c r="EF533">
        <v>1</v>
      </c>
      <c r="EG533" t="s">
        <v>23</v>
      </c>
      <c r="EH533">
        <v>0</v>
      </c>
      <c r="EI533" t="s">
        <v>3</v>
      </c>
      <c r="EJ533">
        <v>4</v>
      </c>
      <c r="EK533">
        <v>0</v>
      </c>
      <c r="EL533" t="s">
        <v>24</v>
      </c>
      <c r="EM533" t="s">
        <v>25</v>
      </c>
      <c r="EO533" t="s">
        <v>3</v>
      </c>
      <c r="EQ533">
        <v>0</v>
      </c>
      <c r="ER533">
        <v>257.86</v>
      </c>
      <c r="ES533">
        <v>0</v>
      </c>
      <c r="ET533">
        <v>0</v>
      </c>
      <c r="EU533">
        <v>0</v>
      </c>
      <c r="EV533">
        <v>257.86</v>
      </c>
      <c r="EW533">
        <v>1.1499999999999999</v>
      </c>
      <c r="EX533">
        <v>0</v>
      </c>
      <c r="EY533">
        <v>0</v>
      </c>
      <c r="FQ533">
        <v>0</v>
      </c>
      <c r="FR533">
        <f t="shared" si="295"/>
        <v>0</v>
      </c>
      <c r="FS533">
        <v>0</v>
      </c>
      <c r="FX533">
        <v>70</v>
      </c>
      <c r="FY533">
        <v>10</v>
      </c>
      <c r="GA533" t="s">
        <v>3</v>
      </c>
      <c r="GD533">
        <v>0</v>
      </c>
      <c r="GF533">
        <v>-1199005245</v>
      </c>
      <c r="GG533">
        <v>2</v>
      </c>
      <c r="GH533">
        <v>1</v>
      </c>
      <c r="GI533">
        <v>-2</v>
      </c>
      <c r="GJ533">
        <v>0</v>
      </c>
      <c r="GK533">
        <f>ROUND(R533*(R12)/100,2)</f>
        <v>0</v>
      </c>
      <c r="GL533">
        <f t="shared" si="296"/>
        <v>0</v>
      </c>
      <c r="GM533">
        <f t="shared" si="297"/>
        <v>464.15</v>
      </c>
      <c r="GN533">
        <f t="shared" si="298"/>
        <v>0</v>
      </c>
      <c r="GO533">
        <f t="shared" si="299"/>
        <v>0</v>
      </c>
      <c r="GP533">
        <f t="shared" si="300"/>
        <v>464.15</v>
      </c>
      <c r="GR533">
        <v>0</v>
      </c>
      <c r="GS533">
        <v>3</v>
      </c>
      <c r="GT533">
        <v>0</v>
      </c>
      <c r="GU533" t="s">
        <v>3</v>
      </c>
      <c r="GV533">
        <f t="shared" si="301"/>
        <v>0</v>
      </c>
      <c r="GW533">
        <v>1</v>
      </c>
      <c r="GX533">
        <f t="shared" si="302"/>
        <v>0</v>
      </c>
      <c r="HA533">
        <v>0</v>
      </c>
      <c r="HB533">
        <v>0</v>
      </c>
      <c r="HC533">
        <f t="shared" si="303"/>
        <v>0</v>
      </c>
      <c r="HE533" t="s">
        <v>3</v>
      </c>
      <c r="HF533" t="s">
        <v>3</v>
      </c>
      <c r="IK533">
        <v>0</v>
      </c>
    </row>
    <row r="534" spans="1:245" x14ac:dyDescent="0.2">
      <c r="A534">
        <v>17</v>
      </c>
      <c r="B534">
        <v>1</v>
      </c>
      <c r="C534">
        <f>ROW(SmtRes!A313)</f>
        <v>313</v>
      </c>
      <c r="D534">
        <f>ROW(EtalonRes!A282)</f>
        <v>282</v>
      </c>
      <c r="E534" t="s">
        <v>325</v>
      </c>
      <c r="F534" t="s">
        <v>326</v>
      </c>
      <c r="G534" t="s">
        <v>327</v>
      </c>
      <c r="H534" t="s">
        <v>198</v>
      </c>
      <c r="I534">
        <v>1</v>
      </c>
      <c r="J534">
        <v>0</v>
      </c>
      <c r="O534">
        <f t="shared" si="264"/>
        <v>10585.35</v>
      </c>
      <c r="P534">
        <f t="shared" si="265"/>
        <v>10241.27</v>
      </c>
      <c r="Q534">
        <f t="shared" si="266"/>
        <v>10.83</v>
      </c>
      <c r="R534">
        <f t="shared" si="267"/>
        <v>0.18</v>
      </c>
      <c r="S534">
        <f t="shared" si="268"/>
        <v>333.25</v>
      </c>
      <c r="T534">
        <f t="shared" si="269"/>
        <v>0</v>
      </c>
      <c r="U534">
        <f t="shared" si="270"/>
        <v>1.28</v>
      </c>
      <c r="V534">
        <f t="shared" si="271"/>
        <v>0</v>
      </c>
      <c r="W534">
        <f t="shared" si="272"/>
        <v>0</v>
      </c>
      <c r="X534">
        <f t="shared" si="273"/>
        <v>233.28</v>
      </c>
      <c r="Y534">
        <f t="shared" si="274"/>
        <v>33.33</v>
      </c>
      <c r="AA534">
        <v>38799519</v>
      </c>
      <c r="AB534">
        <f t="shared" si="275"/>
        <v>10585.35</v>
      </c>
      <c r="AC534">
        <f t="shared" si="276"/>
        <v>10241.27</v>
      </c>
      <c r="AD534">
        <f t="shared" si="277"/>
        <v>10.83</v>
      </c>
      <c r="AE534">
        <f t="shared" si="278"/>
        <v>0.18</v>
      </c>
      <c r="AF534">
        <f t="shared" si="279"/>
        <v>333.25</v>
      </c>
      <c r="AG534">
        <f t="shared" si="280"/>
        <v>0</v>
      </c>
      <c r="AH534">
        <f t="shared" si="281"/>
        <v>1.28</v>
      </c>
      <c r="AI534">
        <f t="shared" si="282"/>
        <v>0</v>
      </c>
      <c r="AJ534">
        <f t="shared" si="283"/>
        <v>0</v>
      </c>
      <c r="AK534">
        <v>10585.35</v>
      </c>
      <c r="AL534">
        <v>10241.27</v>
      </c>
      <c r="AM534">
        <v>10.83</v>
      </c>
      <c r="AN534">
        <v>0.18</v>
      </c>
      <c r="AO534">
        <v>333.25</v>
      </c>
      <c r="AP534">
        <v>0</v>
      </c>
      <c r="AQ534">
        <v>1.28</v>
      </c>
      <c r="AR534">
        <v>0</v>
      </c>
      <c r="AS534">
        <v>0</v>
      </c>
      <c r="AT534">
        <v>70</v>
      </c>
      <c r="AU534">
        <v>10</v>
      </c>
      <c r="AV534">
        <v>1</v>
      </c>
      <c r="AW534">
        <v>1</v>
      </c>
      <c r="AZ534">
        <v>1</v>
      </c>
      <c r="BA534">
        <v>1</v>
      </c>
      <c r="BB534">
        <v>1</v>
      </c>
      <c r="BC534">
        <v>1</v>
      </c>
      <c r="BD534" t="s">
        <v>3</v>
      </c>
      <c r="BE534" t="s">
        <v>3</v>
      </c>
      <c r="BF534" t="s">
        <v>3</v>
      </c>
      <c r="BG534" t="s">
        <v>3</v>
      </c>
      <c r="BH534">
        <v>0</v>
      </c>
      <c r="BI534">
        <v>4</v>
      </c>
      <c r="BJ534" t="s">
        <v>328</v>
      </c>
      <c r="BM534">
        <v>0</v>
      </c>
      <c r="BN534">
        <v>0</v>
      </c>
      <c r="BO534" t="s">
        <v>3</v>
      </c>
      <c r="BP534">
        <v>0</v>
      </c>
      <c r="BQ534">
        <v>1</v>
      </c>
      <c r="BR534">
        <v>0</v>
      </c>
      <c r="BS534">
        <v>1</v>
      </c>
      <c r="BT534">
        <v>1</v>
      </c>
      <c r="BU534">
        <v>1</v>
      </c>
      <c r="BV534">
        <v>1</v>
      </c>
      <c r="BW534">
        <v>1</v>
      </c>
      <c r="BX534">
        <v>1</v>
      </c>
      <c r="BY534" t="s">
        <v>3</v>
      </c>
      <c r="BZ534">
        <v>70</v>
      </c>
      <c r="CA534">
        <v>10</v>
      </c>
      <c r="CE534">
        <v>0</v>
      </c>
      <c r="CF534">
        <v>0</v>
      </c>
      <c r="CG534">
        <v>0</v>
      </c>
      <c r="CM534">
        <v>0</v>
      </c>
      <c r="CN534" t="s">
        <v>3</v>
      </c>
      <c r="CO534">
        <v>0</v>
      </c>
      <c r="CP534">
        <f t="shared" si="284"/>
        <v>10585.35</v>
      </c>
      <c r="CQ534">
        <f t="shared" si="285"/>
        <v>10241.27</v>
      </c>
      <c r="CR534">
        <f t="shared" si="286"/>
        <v>10.83</v>
      </c>
      <c r="CS534">
        <f t="shared" si="287"/>
        <v>0.18</v>
      </c>
      <c r="CT534">
        <f t="shared" si="288"/>
        <v>333.25</v>
      </c>
      <c r="CU534">
        <f t="shared" si="289"/>
        <v>0</v>
      </c>
      <c r="CV534">
        <f t="shared" si="290"/>
        <v>1.28</v>
      </c>
      <c r="CW534">
        <f t="shared" si="291"/>
        <v>0</v>
      </c>
      <c r="CX534">
        <f t="shared" si="292"/>
        <v>0</v>
      </c>
      <c r="CY534">
        <f t="shared" si="293"/>
        <v>233.27500000000001</v>
      </c>
      <c r="CZ534">
        <f t="shared" si="294"/>
        <v>33.325000000000003</v>
      </c>
      <c r="DC534" t="s">
        <v>3</v>
      </c>
      <c r="DD534" t="s">
        <v>3</v>
      </c>
      <c r="DE534" t="s">
        <v>3</v>
      </c>
      <c r="DF534" t="s">
        <v>3</v>
      </c>
      <c r="DG534" t="s">
        <v>3</v>
      </c>
      <c r="DH534" t="s">
        <v>3</v>
      </c>
      <c r="DI534" t="s">
        <v>3</v>
      </c>
      <c r="DJ534" t="s">
        <v>3</v>
      </c>
      <c r="DK534" t="s">
        <v>3</v>
      </c>
      <c r="DL534" t="s">
        <v>3</v>
      </c>
      <c r="DM534" t="s">
        <v>3</v>
      </c>
      <c r="DN534">
        <v>0</v>
      </c>
      <c r="DO534">
        <v>0</v>
      </c>
      <c r="DP534">
        <v>1</v>
      </c>
      <c r="DQ534">
        <v>1</v>
      </c>
      <c r="DU534">
        <v>1010</v>
      </c>
      <c r="DV534" t="s">
        <v>198</v>
      </c>
      <c r="DW534" t="s">
        <v>198</v>
      </c>
      <c r="DX534">
        <v>1</v>
      </c>
      <c r="EE534">
        <v>38447819</v>
      </c>
      <c r="EF534">
        <v>1</v>
      </c>
      <c r="EG534" t="s">
        <v>23</v>
      </c>
      <c r="EH534">
        <v>0</v>
      </c>
      <c r="EI534" t="s">
        <v>3</v>
      </c>
      <c r="EJ534">
        <v>4</v>
      </c>
      <c r="EK534">
        <v>0</v>
      </c>
      <c r="EL534" t="s">
        <v>24</v>
      </c>
      <c r="EM534" t="s">
        <v>25</v>
      </c>
      <c r="EO534" t="s">
        <v>3</v>
      </c>
      <c r="EQ534">
        <v>0</v>
      </c>
      <c r="ER534">
        <v>10585.35</v>
      </c>
      <c r="ES534">
        <v>10241.27</v>
      </c>
      <c r="ET534">
        <v>10.83</v>
      </c>
      <c r="EU534">
        <v>0.18</v>
      </c>
      <c r="EV534">
        <v>333.25</v>
      </c>
      <c r="EW534">
        <v>1.28</v>
      </c>
      <c r="EX534">
        <v>0</v>
      </c>
      <c r="EY534">
        <v>0</v>
      </c>
      <c r="FQ534">
        <v>0</v>
      </c>
      <c r="FR534">
        <f t="shared" si="295"/>
        <v>0</v>
      </c>
      <c r="FS534">
        <v>0</v>
      </c>
      <c r="FX534">
        <v>70</v>
      </c>
      <c r="FY534">
        <v>10</v>
      </c>
      <c r="GA534" t="s">
        <v>3</v>
      </c>
      <c r="GD534">
        <v>0</v>
      </c>
      <c r="GF534">
        <v>-414365435</v>
      </c>
      <c r="GG534">
        <v>2</v>
      </c>
      <c r="GH534">
        <v>1</v>
      </c>
      <c r="GI534">
        <v>-2</v>
      </c>
      <c r="GJ534">
        <v>0</v>
      </c>
      <c r="GK534">
        <f>ROUND(R534*(R12)/100,2)</f>
        <v>0.19</v>
      </c>
      <c r="GL534">
        <f t="shared" si="296"/>
        <v>0</v>
      </c>
      <c r="GM534">
        <f t="shared" si="297"/>
        <v>10852.15</v>
      </c>
      <c r="GN534">
        <f t="shared" si="298"/>
        <v>0</v>
      </c>
      <c r="GO534">
        <f t="shared" si="299"/>
        <v>0</v>
      </c>
      <c r="GP534">
        <f t="shared" si="300"/>
        <v>10852.15</v>
      </c>
      <c r="GR534">
        <v>0</v>
      </c>
      <c r="GS534">
        <v>3</v>
      </c>
      <c r="GT534">
        <v>0</v>
      </c>
      <c r="GU534" t="s">
        <v>3</v>
      </c>
      <c r="GV534">
        <f t="shared" si="301"/>
        <v>0</v>
      </c>
      <c r="GW534">
        <v>1</v>
      </c>
      <c r="GX534">
        <f t="shared" si="302"/>
        <v>0</v>
      </c>
      <c r="HA534">
        <v>0</v>
      </c>
      <c r="HB534">
        <v>0</v>
      </c>
      <c r="HC534">
        <f t="shared" si="303"/>
        <v>0</v>
      </c>
      <c r="HE534" t="s">
        <v>3</v>
      </c>
      <c r="HF534" t="s">
        <v>3</v>
      </c>
      <c r="IK534">
        <v>0</v>
      </c>
    </row>
    <row r="535" spans="1:245" x14ac:dyDescent="0.2">
      <c r="A535">
        <v>17</v>
      </c>
      <c r="B535">
        <v>1</v>
      </c>
      <c r="C535">
        <f>ROW(SmtRes!A316)</f>
        <v>316</v>
      </c>
      <c r="D535">
        <f>ROW(EtalonRes!A285)</f>
        <v>285</v>
      </c>
      <c r="E535" t="s">
        <v>329</v>
      </c>
      <c r="F535" t="s">
        <v>330</v>
      </c>
      <c r="G535" t="s">
        <v>331</v>
      </c>
      <c r="H535" t="s">
        <v>198</v>
      </c>
      <c r="I535">
        <v>1</v>
      </c>
      <c r="J535">
        <v>0</v>
      </c>
      <c r="O535">
        <f t="shared" si="264"/>
        <v>299.64</v>
      </c>
      <c r="P535">
        <f t="shared" si="265"/>
        <v>9.01</v>
      </c>
      <c r="Q535">
        <f t="shared" si="266"/>
        <v>0</v>
      </c>
      <c r="R535">
        <f t="shared" si="267"/>
        <v>0</v>
      </c>
      <c r="S535">
        <f t="shared" si="268"/>
        <v>290.63</v>
      </c>
      <c r="T535">
        <f t="shared" si="269"/>
        <v>0</v>
      </c>
      <c r="U535">
        <f t="shared" si="270"/>
        <v>1.18</v>
      </c>
      <c r="V535">
        <f t="shared" si="271"/>
        <v>0</v>
      </c>
      <c r="W535">
        <f t="shared" si="272"/>
        <v>0</v>
      </c>
      <c r="X535">
        <f t="shared" si="273"/>
        <v>203.44</v>
      </c>
      <c r="Y535">
        <f t="shared" si="274"/>
        <v>29.06</v>
      </c>
      <c r="AA535">
        <v>38799519</v>
      </c>
      <c r="AB535">
        <f t="shared" si="275"/>
        <v>299.64</v>
      </c>
      <c r="AC535">
        <f t="shared" si="276"/>
        <v>9.01</v>
      </c>
      <c r="AD535">
        <f t="shared" si="277"/>
        <v>0</v>
      </c>
      <c r="AE535">
        <f t="shared" si="278"/>
        <v>0</v>
      </c>
      <c r="AF535">
        <f t="shared" si="279"/>
        <v>290.63</v>
      </c>
      <c r="AG535">
        <f t="shared" si="280"/>
        <v>0</v>
      </c>
      <c r="AH535">
        <f t="shared" si="281"/>
        <v>1.18</v>
      </c>
      <c r="AI535">
        <f t="shared" si="282"/>
        <v>0</v>
      </c>
      <c r="AJ535">
        <f t="shared" si="283"/>
        <v>0</v>
      </c>
      <c r="AK535">
        <v>299.64</v>
      </c>
      <c r="AL535">
        <v>9.01</v>
      </c>
      <c r="AM535">
        <v>0</v>
      </c>
      <c r="AN535">
        <v>0</v>
      </c>
      <c r="AO535">
        <v>290.63</v>
      </c>
      <c r="AP535">
        <v>0</v>
      </c>
      <c r="AQ535">
        <v>1.18</v>
      </c>
      <c r="AR535">
        <v>0</v>
      </c>
      <c r="AS535">
        <v>0</v>
      </c>
      <c r="AT535">
        <v>70</v>
      </c>
      <c r="AU535">
        <v>10</v>
      </c>
      <c r="AV535">
        <v>1</v>
      </c>
      <c r="AW535">
        <v>1</v>
      </c>
      <c r="AZ535">
        <v>1</v>
      </c>
      <c r="BA535">
        <v>1</v>
      </c>
      <c r="BB535">
        <v>1</v>
      </c>
      <c r="BC535">
        <v>1</v>
      </c>
      <c r="BD535" t="s">
        <v>3</v>
      </c>
      <c r="BE535" t="s">
        <v>3</v>
      </c>
      <c r="BF535" t="s">
        <v>3</v>
      </c>
      <c r="BG535" t="s">
        <v>3</v>
      </c>
      <c r="BH535">
        <v>0</v>
      </c>
      <c r="BI535">
        <v>4</v>
      </c>
      <c r="BJ535" t="s">
        <v>332</v>
      </c>
      <c r="BM535">
        <v>0</v>
      </c>
      <c r="BN535">
        <v>0</v>
      </c>
      <c r="BO535" t="s">
        <v>3</v>
      </c>
      <c r="BP535">
        <v>0</v>
      </c>
      <c r="BQ535">
        <v>1</v>
      </c>
      <c r="BR535">
        <v>0</v>
      </c>
      <c r="BS535">
        <v>1</v>
      </c>
      <c r="BT535">
        <v>1</v>
      </c>
      <c r="BU535">
        <v>1</v>
      </c>
      <c r="BV535">
        <v>1</v>
      </c>
      <c r="BW535">
        <v>1</v>
      </c>
      <c r="BX535">
        <v>1</v>
      </c>
      <c r="BY535" t="s">
        <v>3</v>
      </c>
      <c r="BZ535">
        <v>70</v>
      </c>
      <c r="CA535">
        <v>10</v>
      </c>
      <c r="CE535">
        <v>0</v>
      </c>
      <c r="CF535">
        <v>0</v>
      </c>
      <c r="CG535">
        <v>0</v>
      </c>
      <c r="CM535">
        <v>0</v>
      </c>
      <c r="CN535" t="s">
        <v>3</v>
      </c>
      <c r="CO535">
        <v>0</v>
      </c>
      <c r="CP535">
        <f t="shared" si="284"/>
        <v>299.64</v>
      </c>
      <c r="CQ535">
        <f t="shared" si="285"/>
        <v>9.01</v>
      </c>
      <c r="CR535">
        <f t="shared" si="286"/>
        <v>0</v>
      </c>
      <c r="CS535">
        <f t="shared" si="287"/>
        <v>0</v>
      </c>
      <c r="CT535">
        <f t="shared" si="288"/>
        <v>290.63</v>
      </c>
      <c r="CU535">
        <f t="shared" si="289"/>
        <v>0</v>
      </c>
      <c r="CV535">
        <f t="shared" si="290"/>
        <v>1.18</v>
      </c>
      <c r="CW535">
        <f t="shared" si="291"/>
        <v>0</v>
      </c>
      <c r="CX535">
        <f t="shared" si="292"/>
        <v>0</v>
      </c>
      <c r="CY535">
        <f t="shared" si="293"/>
        <v>203.44099999999997</v>
      </c>
      <c r="CZ535">
        <f t="shared" si="294"/>
        <v>29.063000000000002</v>
      </c>
      <c r="DC535" t="s">
        <v>3</v>
      </c>
      <c r="DD535" t="s">
        <v>3</v>
      </c>
      <c r="DE535" t="s">
        <v>3</v>
      </c>
      <c r="DF535" t="s">
        <v>3</v>
      </c>
      <c r="DG535" t="s">
        <v>3</v>
      </c>
      <c r="DH535" t="s">
        <v>3</v>
      </c>
      <c r="DI535" t="s">
        <v>3</v>
      </c>
      <c r="DJ535" t="s">
        <v>3</v>
      </c>
      <c r="DK535" t="s">
        <v>3</v>
      </c>
      <c r="DL535" t="s">
        <v>3</v>
      </c>
      <c r="DM535" t="s">
        <v>3</v>
      </c>
      <c r="DN535">
        <v>0</v>
      </c>
      <c r="DO535">
        <v>0</v>
      </c>
      <c r="DP535">
        <v>1</v>
      </c>
      <c r="DQ535">
        <v>1</v>
      </c>
      <c r="DU535">
        <v>1010</v>
      </c>
      <c r="DV535" t="s">
        <v>198</v>
      </c>
      <c r="DW535" t="s">
        <v>198</v>
      </c>
      <c r="DX535">
        <v>1</v>
      </c>
      <c r="EE535">
        <v>38447819</v>
      </c>
      <c r="EF535">
        <v>1</v>
      </c>
      <c r="EG535" t="s">
        <v>23</v>
      </c>
      <c r="EH535">
        <v>0</v>
      </c>
      <c r="EI535" t="s">
        <v>3</v>
      </c>
      <c r="EJ535">
        <v>4</v>
      </c>
      <c r="EK535">
        <v>0</v>
      </c>
      <c r="EL535" t="s">
        <v>24</v>
      </c>
      <c r="EM535" t="s">
        <v>25</v>
      </c>
      <c r="EO535" t="s">
        <v>3</v>
      </c>
      <c r="EQ535">
        <v>0</v>
      </c>
      <c r="ER535">
        <v>299.64</v>
      </c>
      <c r="ES535">
        <v>9.01</v>
      </c>
      <c r="ET535">
        <v>0</v>
      </c>
      <c r="EU535">
        <v>0</v>
      </c>
      <c r="EV535">
        <v>290.63</v>
      </c>
      <c r="EW535">
        <v>1.18</v>
      </c>
      <c r="EX535">
        <v>0</v>
      </c>
      <c r="EY535">
        <v>0</v>
      </c>
      <c r="FQ535">
        <v>0</v>
      </c>
      <c r="FR535">
        <f t="shared" si="295"/>
        <v>0</v>
      </c>
      <c r="FS535">
        <v>0</v>
      </c>
      <c r="FX535">
        <v>70</v>
      </c>
      <c r="FY535">
        <v>10</v>
      </c>
      <c r="GA535" t="s">
        <v>3</v>
      </c>
      <c r="GD535">
        <v>0</v>
      </c>
      <c r="GF535">
        <v>721029410</v>
      </c>
      <c r="GG535">
        <v>2</v>
      </c>
      <c r="GH535">
        <v>1</v>
      </c>
      <c r="GI535">
        <v>-2</v>
      </c>
      <c r="GJ535">
        <v>0</v>
      </c>
      <c r="GK535">
        <f>ROUND(R535*(R12)/100,2)</f>
        <v>0</v>
      </c>
      <c r="GL535">
        <f t="shared" si="296"/>
        <v>0</v>
      </c>
      <c r="GM535">
        <f t="shared" si="297"/>
        <v>532.14</v>
      </c>
      <c r="GN535">
        <f t="shared" si="298"/>
        <v>0</v>
      </c>
      <c r="GO535">
        <f t="shared" si="299"/>
        <v>0</v>
      </c>
      <c r="GP535">
        <f t="shared" si="300"/>
        <v>532.14</v>
      </c>
      <c r="GR535">
        <v>0</v>
      </c>
      <c r="GS535">
        <v>3</v>
      </c>
      <c r="GT535">
        <v>0</v>
      </c>
      <c r="GU535" t="s">
        <v>3</v>
      </c>
      <c r="GV535">
        <f t="shared" si="301"/>
        <v>0</v>
      </c>
      <c r="GW535">
        <v>1</v>
      </c>
      <c r="GX535">
        <f t="shared" si="302"/>
        <v>0</v>
      </c>
      <c r="HA535">
        <v>0</v>
      </c>
      <c r="HB535">
        <v>0</v>
      </c>
      <c r="HC535">
        <f t="shared" si="303"/>
        <v>0</v>
      </c>
      <c r="HE535" t="s">
        <v>3</v>
      </c>
      <c r="HF535" t="s">
        <v>3</v>
      </c>
      <c r="IK535">
        <v>0</v>
      </c>
    </row>
    <row r="536" spans="1:245" x14ac:dyDescent="0.2">
      <c r="A536">
        <v>19</v>
      </c>
      <c r="B536">
        <v>1</v>
      </c>
      <c r="F536" t="s">
        <v>3</v>
      </c>
      <c r="G536" t="s">
        <v>333</v>
      </c>
      <c r="H536" t="s">
        <v>3</v>
      </c>
      <c r="AA536">
        <v>1</v>
      </c>
      <c r="IK536">
        <v>0</v>
      </c>
    </row>
    <row r="538" spans="1:245" x14ac:dyDescent="0.2">
      <c r="A538" s="2">
        <v>51</v>
      </c>
      <c r="B538" s="2">
        <f>B519</f>
        <v>1</v>
      </c>
      <c r="C538" s="2">
        <f>A519</f>
        <v>5</v>
      </c>
      <c r="D538" s="2">
        <f>ROW(A519)</f>
        <v>519</v>
      </c>
      <c r="E538" s="2"/>
      <c r="F538" s="2" t="str">
        <f>IF(F519&lt;&gt;"",F519,"")</f>
        <v>Новый подраздел</v>
      </c>
      <c r="G538" s="2" t="str">
        <f>IF(G519&lt;&gt;"",G519,"")</f>
        <v>Строительные работы</v>
      </c>
      <c r="H538" s="2">
        <v>0</v>
      </c>
      <c r="I538" s="2"/>
      <c r="J538" s="2"/>
      <c r="K538" s="2"/>
      <c r="L538" s="2"/>
      <c r="M538" s="2"/>
      <c r="N538" s="2"/>
      <c r="O538" s="2">
        <f t="shared" ref="O538:T538" si="304">ROUND(AB538,2)</f>
        <v>1515429.5</v>
      </c>
      <c r="P538" s="2">
        <f t="shared" si="304"/>
        <v>721561.08</v>
      </c>
      <c r="Q538" s="2">
        <f t="shared" si="304"/>
        <v>231024.34</v>
      </c>
      <c r="R538" s="2">
        <f t="shared" si="304"/>
        <v>145740.57</v>
      </c>
      <c r="S538" s="2">
        <f t="shared" si="304"/>
        <v>562844.07999999996</v>
      </c>
      <c r="T538" s="2">
        <f t="shared" si="304"/>
        <v>0</v>
      </c>
      <c r="U538" s="2">
        <f>AH538</f>
        <v>2265.8260000000005</v>
      </c>
      <c r="V538" s="2">
        <f>AI538</f>
        <v>0</v>
      </c>
      <c r="W538" s="2">
        <f>ROUND(AJ538,2)</f>
        <v>0</v>
      </c>
      <c r="X538" s="2">
        <f>ROUND(AK538,2)</f>
        <v>393990.85</v>
      </c>
      <c r="Y538" s="2">
        <f>ROUND(AL538,2)</f>
        <v>56284.42</v>
      </c>
      <c r="Z538" s="2"/>
      <c r="AA538" s="2"/>
      <c r="AB538" s="2">
        <f>ROUND(SUMIF(AA523:AA535,"=38799519",O523:O535),2)</f>
        <v>1515429.5</v>
      </c>
      <c r="AC538" s="2">
        <f>ROUND(SUMIF(AA523:AA535,"=38799519",P523:P535),2)</f>
        <v>721561.08</v>
      </c>
      <c r="AD538" s="2">
        <f>ROUND(SUMIF(AA523:AA535,"=38799519",Q523:Q535),2)</f>
        <v>231024.34</v>
      </c>
      <c r="AE538" s="2">
        <f>ROUND(SUMIF(AA523:AA535,"=38799519",R523:R535),2)</f>
        <v>145740.57</v>
      </c>
      <c r="AF538" s="2">
        <f>ROUND(SUMIF(AA523:AA535,"=38799519",S523:S535),2)</f>
        <v>562844.07999999996</v>
      </c>
      <c r="AG538" s="2">
        <f>ROUND(SUMIF(AA523:AA535,"=38799519",T523:T535),2)</f>
        <v>0</v>
      </c>
      <c r="AH538" s="2">
        <f>SUMIF(AA523:AA535,"=38799519",U523:U535)</f>
        <v>2265.8260000000005</v>
      </c>
      <c r="AI538" s="2">
        <f>SUMIF(AA523:AA535,"=38799519",V523:V535)</f>
        <v>0</v>
      </c>
      <c r="AJ538" s="2">
        <f>ROUND(SUMIF(AA523:AA535,"=38799519",W523:W535),2)</f>
        <v>0</v>
      </c>
      <c r="AK538" s="2">
        <f>ROUND(SUMIF(AA523:AA535,"=38799519",X523:X535),2)</f>
        <v>393990.85</v>
      </c>
      <c r="AL538" s="2">
        <f>ROUND(SUMIF(AA523:AA535,"=38799519",Y523:Y535),2)</f>
        <v>56284.42</v>
      </c>
      <c r="AM538" s="2"/>
      <c r="AN538" s="2"/>
      <c r="AO538" s="2">
        <f t="shared" ref="AO538:BD538" si="305">ROUND(BX538,2)</f>
        <v>0</v>
      </c>
      <c r="AP538" s="2">
        <f t="shared" si="305"/>
        <v>0</v>
      </c>
      <c r="AQ538" s="2">
        <f t="shared" si="305"/>
        <v>0</v>
      </c>
      <c r="AR538" s="2">
        <f t="shared" si="305"/>
        <v>2123104.58</v>
      </c>
      <c r="AS538" s="2">
        <f t="shared" si="305"/>
        <v>0</v>
      </c>
      <c r="AT538" s="2">
        <f t="shared" si="305"/>
        <v>0</v>
      </c>
      <c r="AU538" s="2">
        <f t="shared" si="305"/>
        <v>2123104.58</v>
      </c>
      <c r="AV538" s="2">
        <f t="shared" si="305"/>
        <v>721561.08</v>
      </c>
      <c r="AW538" s="2">
        <f t="shared" si="305"/>
        <v>721561.08</v>
      </c>
      <c r="AX538" s="2">
        <f t="shared" si="305"/>
        <v>0</v>
      </c>
      <c r="AY538" s="2">
        <f t="shared" si="305"/>
        <v>721561.08</v>
      </c>
      <c r="AZ538" s="2">
        <f t="shared" si="305"/>
        <v>0</v>
      </c>
      <c r="BA538" s="2">
        <f t="shared" si="305"/>
        <v>0</v>
      </c>
      <c r="BB538" s="2">
        <f t="shared" si="305"/>
        <v>0</v>
      </c>
      <c r="BC538" s="2">
        <f t="shared" si="305"/>
        <v>0</v>
      </c>
      <c r="BD538" s="2">
        <f t="shared" si="305"/>
        <v>0</v>
      </c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>
        <f>ROUND(SUMIF(AA523:AA535,"=38799519",FQ523:FQ535),2)</f>
        <v>0</v>
      </c>
      <c r="BY538" s="2">
        <f>ROUND(SUMIF(AA523:AA535,"=38799519",FR523:FR535),2)</f>
        <v>0</v>
      </c>
      <c r="BZ538" s="2">
        <f>ROUND(SUMIF(AA523:AA535,"=38799519",GL523:GL535),2)</f>
        <v>0</v>
      </c>
      <c r="CA538" s="2">
        <f>ROUND(SUMIF(AA523:AA535,"=38799519",GM523:GM535),2)</f>
        <v>2123104.58</v>
      </c>
      <c r="CB538" s="2">
        <f>ROUND(SUMIF(AA523:AA535,"=38799519",GN523:GN535),2)</f>
        <v>0</v>
      </c>
      <c r="CC538" s="2">
        <f>ROUND(SUMIF(AA523:AA535,"=38799519",GO523:GO535),2)</f>
        <v>0</v>
      </c>
      <c r="CD538" s="2">
        <f>ROUND(SUMIF(AA523:AA535,"=38799519",GP523:GP535),2)</f>
        <v>2123104.58</v>
      </c>
      <c r="CE538" s="2">
        <f>AC538-BX538</f>
        <v>721561.08</v>
      </c>
      <c r="CF538" s="2">
        <f>AC538-BY538</f>
        <v>721561.08</v>
      </c>
      <c r="CG538" s="2">
        <f>BX538-BZ538</f>
        <v>0</v>
      </c>
      <c r="CH538" s="2">
        <f>AC538-BX538-BY538+BZ538</f>
        <v>721561.08</v>
      </c>
      <c r="CI538" s="2">
        <f>BY538-BZ538</f>
        <v>0</v>
      </c>
      <c r="CJ538" s="2">
        <f>ROUND(SUMIF(AA523:AA535,"=38799519",GX523:GX535),2)</f>
        <v>0</v>
      </c>
      <c r="CK538" s="2">
        <f>ROUND(SUMIF(AA523:AA535,"=38799519",GY523:GY535),2)</f>
        <v>0</v>
      </c>
      <c r="CL538" s="2">
        <f>ROUND(SUMIF(AA523:AA535,"=38799519",GZ523:GZ535),2)</f>
        <v>0</v>
      </c>
      <c r="CM538" s="2">
        <f>ROUND(SUMIF(AA523:AA535,"=38799519",HD523:HD535),2)</f>
        <v>0</v>
      </c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  <c r="DU538" s="3"/>
      <c r="DV538" s="3"/>
      <c r="DW538" s="3"/>
      <c r="DX538" s="3"/>
      <c r="DY538" s="3"/>
      <c r="DZ538" s="3"/>
      <c r="EA538" s="3"/>
      <c r="EB538" s="3"/>
      <c r="EC538" s="3"/>
      <c r="ED538" s="3"/>
      <c r="EE538" s="3"/>
      <c r="EF538" s="3"/>
      <c r="EG538" s="3"/>
      <c r="EH538" s="3"/>
      <c r="EI538" s="3"/>
      <c r="EJ538" s="3"/>
      <c r="EK538" s="3"/>
      <c r="EL538" s="3"/>
      <c r="EM538" s="3"/>
      <c r="EN538" s="3"/>
      <c r="EO538" s="3"/>
      <c r="EP538" s="3"/>
      <c r="EQ538" s="3"/>
      <c r="ER538" s="3"/>
      <c r="ES538" s="3"/>
      <c r="ET538" s="3"/>
      <c r="EU538" s="3"/>
      <c r="EV538" s="3"/>
      <c r="EW538" s="3"/>
      <c r="EX538" s="3"/>
      <c r="EY538" s="3"/>
      <c r="EZ538" s="3"/>
      <c r="FA538" s="3"/>
      <c r="FB538" s="3"/>
      <c r="FC538" s="3"/>
      <c r="FD538" s="3"/>
      <c r="FE538" s="3"/>
      <c r="FF538" s="3"/>
      <c r="FG538" s="3"/>
      <c r="FH538" s="3"/>
      <c r="FI538" s="3"/>
      <c r="FJ538" s="3"/>
      <c r="FK538" s="3"/>
      <c r="FL538" s="3"/>
      <c r="FM538" s="3"/>
      <c r="FN538" s="3"/>
      <c r="FO538" s="3"/>
      <c r="FP538" s="3"/>
      <c r="FQ538" s="3"/>
      <c r="FR538" s="3"/>
      <c r="FS538" s="3"/>
      <c r="FT538" s="3"/>
      <c r="FU538" s="3"/>
      <c r="FV538" s="3"/>
      <c r="FW538" s="3"/>
      <c r="FX538" s="3"/>
      <c r="FY538" s="3"/>
      <c r="FZ538" s="3"/>
      <c r="GA538" s="3"/>
      <c r="GB538" s="3"/>
      <c r="GC538" s="3"/>
      <c r="GD538" s="3"/>
      <c r="GE538" s="3"/>
      <c r="GF538" s="3"/>
      <c r="GG538" s="3"/>
      <c r="GH538" s="3"/>
      <c r="GI538" s="3"/>
      <c r="GJ538" s="3"/>
      <c r="GK538" s="3"/>
      <c r="GL538" s="3"/>
      <c r="GM538" s="3"/>
      <c r="GN538" s="3"/>
      <c r="GO538" s="3"/>
      <c r="GP538" s="3"/>
      <c r="GQ538" s="3"/>
      <c r="GR538" s="3"/>
      <c r="GS538" s="3"/>
      <c r="GT538" s="3"/>
      <c r="GU538" s="3"/>
      <c r="GV538" s="3"/>
      <c r="GW538" s="3"/>
      <c r="GX538" s="3">
        <v>0</v>
      </c>
    </row>
    <row r="540" spans="1:245" x14ac:dyDescent="0.2">
      <c r="A540" s="4">
        <v>50</v>
      </c>
      <c r="B540" s="4">
        <v>0</v>
      </c>
      <c r="C540" s="4">
        <v>0</v>
      </c>
      <c r="D540" s="4">
        <v>1</v>
      </c>
      <c r="E540" s="4">
        <v>201</v>
      </c>
      <c r="F540" s="4">
        <f>ROUND(Source!O538,O540)</f>
        <v>1515429.5</v>
      </c>
      <c r="G540" s="4" t="s">
        <v>50</v>
      </c>
      <c r="H540" s="4" t="s">
        <v>51</v>
      </c>
      <c r="I540" s="4"/>
      <c r="J540" s="4"/>
      <c r="K540" s="4">
        <v>201</v>
      </c>
      <c r="L540" s="4">
        <v>1</v>
      </c>
      <c r="M540" s="4">
        <v>3</v>
      </c>
      <c r="N540" s="4" t="s">
        <v>3</v>
      </c>
      <c r="O540" s="4">
        <v>2</v>
      </c>
      <c r="P540" s="4"/>
      <c r="Q540" s="4"/>
      <c r="R540" s="4"/>
      <c r="S540" s="4"/>
      <c r="T540" s="4"/>
      <c r="U540" s="4"/>
      <c r="V540" s="4"/>
      <c r="W540" s="4"/>
    </row>
    <row r="541" spans="1:245" x14ac:dyDescent="0.2">
      <c r="A541" s="4">
        <v>50</v>
      </c>
      <c r="B541" s="4">
        <v>0</v>
      </c>
      <c r="C541" s="4">
        <v>0</v>
      </c>
      <c r="D541" s="4">
        <v>1</v>
      </c>
      <c r="E541" s="4">
        <v>202</v>
      </c>
      <c r="F541" s="4">
        <f>ROUND(Source!P538,O541)</f>
        <v>721561.08</v>
      </c>
      <c r="G541" s="4" t="s">
        <v>52</v>
      </c>
      <c r="H541" s="4" t="s">
        <v>53</v>
      </c>
      <c r="I541" s="4"/>
      <c r="J541" s="4"/>
      <c r="K541" s="4">
        <v>202</v>
      </c>
      <c r="L541" s="4">
        <v>2</v>
      </c>
      <c r="M541" s="4">
        <v>3</v>
      </c>
      <c r="N541" s="4" t="s">
        <v>3</v>
      </c>
      <c r="O541" s="4">
        <v>2</v>
      </c>
      <c r="P541" s="4"/>
      <c r="Q541" s="4"/>
      <c r="R541" s="4"/>
      <c r="S541" s="4"/>
      <c r="T541" s="4"/>
      <c r="U541" s="4"/>
      <c r="V541" s="4"/>
      <c r="W541" s="4"/>
    </row>
    <row r="542" spans="1:245" x14ac:dyDescent="0.2">
      <c r="A542" s="4">
        <v>50</v>
      </c>
      <c r="B542" s="4">
        <v>0</v>
      </c>
      <c r="C542" s="4">
        <v>0</v>
      </c>
      <c r="D542" s="4">
        <v>1</v>
      </c>
      <c r="E542" s="4">
        <v>222</v>
      </c>
      <c r="F542" s="4">
        <f>ROUND(Source!AO538,O542)</f>
        <v>0</v>
      </c>
      <c r="G542" s="4" t="s">
        <v>54</v>
      </c>
      <c r="H542" s="4" t="s">
        <v>55</v>
      </c>
      <c r="I542" s="4"/>
      <c r="J542" s="4"/>
      <c r="K542" s="4">
        <v>222</v>
      </c>
      <c r="L542" s="4">
        <v>3</v>
      </c>
      <c r="M542" s="4">
        <v>3</v>
      </c>
      <c r="N542" s="4" t="s">
        <v>3</v>
      </c>
      <c r="O542" s="4">
        <v>2</v>
      </c>
      <c r="P542" s="4"/>
      <c r="Q542" s="4"/>
      <c r="R542" s="4"/>
      <c r="S542" s="4"/>
      <c r="T542" s="4"/>
      <c r="U542" s="4"/>
      <c r="V542" s="4"/>
      <c r="W542" s="4"/>
    </row>
    <row r="543" spans="1:245" x14ac:dyDescent="0.2">
      <c r="A543" s="4">
        <v>50</v>
      </c>
      <c r="B543" s="4">
        <v>0</v>
      </c>
      <c r="C543" s="4">
        <v>0</v>
      </c>
      <c r="D543" s="4">
        <v>1</v>
      </c>
      <c r="E543" s="4">
        <v>225</v>
      </c>
      <c r="F543" s="4">
        <f>ROUND(Source!AV538,O543)</f>
        <v>721561.08</v>
      </c>
      <c r="G543" s="4" t="s">
        <v>56</v>
      </c>
      <c r="H543" s="4" t="s">
        <v>57</v>
      </c>
      <c r="I543" s="4"/>
      <c r="J543" s="4"/>
      <c r="K543" s="4">
        <v>225</v>
      </c>
      <c r="L543" s="4">
        <v>4</v>
      </c>
      <c r="M543" s="4">
        <v>3</v>
      </c>
      <c r="N543" s="4" t="s">
        <v>3</v>
      </c>
      <c r="O543" s="4">
        <v>2</v>
      </c>
      <c r="P543" s="4"/>
      <c r="Q543" s="4"/>
      <c r="R543" s="4"/>
      <c r="S543" s="4"/>
      <c r="T543" s="4"/>
      <c r="U543" s="4"/>
      <c r="V543" s="4"/>
      <c r="W543" s="4"/>
    </row>
    <row r="544" spans="1:245" x14ac:dyDescent="0.2">
      <c r="A544" s="4">
        <v>50</v>
      </c>
      <c r="B544" s="4">
        <v>0</v>
      </c>
      <c r="C544" s="4">
        <v>0</v>
      </c>
      <c r="D544" s="4">
        <v>1</v>
      </c>
      <c r="E544" s="4">
        <v>226</v>
      </c>
      <c r="F544" s="4">
        <f>ROUND(Source!AW538,O544)</f>
        <v>721561.08</v>
      </c>
      <c r="G544" s="4" t="s">
        <v>58</v>
      </c>
      <c r="H544" s="4" t="s">
        <v>59</v>
      </c>
      <c r="I544" s="4"/>
      <c r="J544" s="4"/>
      <c r="K544" s="4">
        <v>226</v>
      </c>
      <c r="L544" s="4">
        <v>5</v>
      </c>
      <c r="M544" s="4">
        <v>3</v>
      </c>
      <c r="N544" s="4" t="s">
        <v>3</v>
      </c>
      <c r="O544" s="4">
        <v>2</v>
      </c>
      <c r="P544" s="4"/>
      <c r="Q544" s="4"/>
      <c r="R544" s="4"/>
      <c r="S544" s="4"/>
      <c r="T544" s="4"/>
      <c r="U544" s="4"/>
      <c r="V544" s="4"/>
      <c r="W544" s="4"/>
    </row>
    <row r="545" spans="1:23" x14ac:dyDescent="0.2">
      <c r="A545" s="4">
        <v>50</v>
      </c>
      <c r="B545" s="4">
        <v>0</v>
      </c>
      <c r="C545" s="4">
        <v>0</v>
      </c>
      <c r="D545" s="4">
        <v>1</v>
      </c>
      <c r="E545" s="4">
        <v>227</v>
      </c>
      <c r="F545" s="4">
        <f>ROUND(Source!AX538,O545)</f>
        <v>0</v>
      </c>
      <c r="G545" s="4" t="s">
        <v>60</v>
      </c>
      <c r="H545" s="4" t="s">
        <v>61</v>
      </c>
      <c r="I545" s="4"/>
      <c r="J545" s="4"/>
      <c r="K545" s="4">
        <v>227</v>
      </c>
      <c r="L545" s="4">
        <v>6</v>
      </c>
      <c r="M545" s="4">
        <v>3</v>
      </c>
      <c r="N545" s="4" t="s">
        <v>3</v>
      </c>
      <c r="O545" s="4">
        <v>2</v>
      </c>
      <c r="P545" s="4"/>
      <c r="Q545" s="4"/>
      <c r="R545" s="4"/>
      <c r="S545" s="4"/>
      <c r="T545" s="4"/>
      <c r="U545" s="4"/>
      <c r="V545" s="4"/>
      <c r="W545" s="4"/>
    </row>
    <row r="546" spans="1:23" x14ac:dyDescent="0.2">
      <c r="A546" s="4">
        <v>50</v>
      </c>
      <c r="B546" s="4">
        <v>0</v>
      </c>
      <c r="C546" s="4">
        <v>0</v>
      </c>
      <c r="D546" s="4">
        <v>1</v>
      </c>
      <c r="E546" s="4">
        <v>228</v>
      </c>
      <c r="F546" s="4">
        <f>ROUND(Source!AY538,O546)</f>
        <v>721561.08</v>
      </c>
      <c r="G546" s="4" t="s">
        <v>62</v>
      </c>
      <c r="H546" s="4" t="s">
        <v>63</v>
      </c>
      <c r="I546" s="4"/>
      <c r="J546" s="4"/>
      <c r="K546" s="4">
        <v>228</v>
      </c>
      <c r="L546" s="4">
        <v>7</v>
      </c>
      <c r="M546" s="4">
        <v>3</v>
      </c>
      <c r="N546" s="4" t="s">
        <v>3</v>
      </c>
      <c r="O546" s="4">
        <v>2</v>
      </c>
      <c r="P546" s="4"/>
      <c r="Q546" s="4"/>
      <c r="R546" s="4"/>
      <c r="S546" s="4"/>
      <c r="T546" s="4"/>
      <c r="U546" s="4"/>
      <c r="V546" s="4"/>
      <c r="W546" s="4"/>
    </row>
    <row r="547" spans="1:23" x14ac:dyDescent="0.2">
      <c r="A547" s="4">
        <v>50</v>
      </c>
      <c r="B547" s="4">
        <v>0</v>
      </c>
      <c r="C547" s="4">
        <v>0</v>
      </c>
      <c r="D547" s="4">
        <v>1</v>
      </c>
      <c r="E547" s="4">
        <v>216</v>
      </c>
      <c r="F547" s="4">
        <f>ROUND(Source!AP538,O547)</f>
        <v>0</v>
      </c>
      <c r="G547" s="4" t="s">
        <v>64</v>
      </c>
      <c r="H547" s="4" t="s">
        <v>65</v>
      </c>
      <c r="I547" s="4"/>
      <c r="J547" s="4"/>
      <c r="K547" s="4">
        <v>216</v>
      </c>
      <c r="L547" s="4">
        <v>8</v>
      </c>
      <c r="M547" s="4">
        <v>3</v>
      </c>
      <c r="N547" s="4" t="s">
        <v>3</v>
      </c>
      <c r="O547" s="4">
        <v>2</v>
      </c>
      <c r="P547" s="4"/>
      <c r="Q547" s="4"/>
      <c r="R547" s="4"/>
      <c r="S547" s="4"/>
      <c r="T547" s="4"/>
      <c r="U547" s="4"/>
      <c r="V547" s="4"/>
      <c r="W547" s="4"/>
    </row>
    <row r="548" spans="1:23" x14ac:dyDescent="0.2">
      <c r="A548" s="4">
        <v>50</v>
      </c>
      <c r="B548" s="4">
        <v>0</v>
      </c>
      <c r="C548" s="4">
        <v>0</v>
      </c>
      <c r="D548" s="4">
        <v>1</v>
      </c>
      <c r="E548" s="4">
        <v>223</v>
      </c>
      <c r="F548" s="4">
        <f>ROUND(Source!AQ538,O548)</f>
        <v>0</v>
      </c>
      <c r="G548" s="4" t="s">
        <v>66</v>
      </c>
      <c r="H548" s="4" t="s">
        <v>67</v>
      </c>
      <c r="I548" s="4"/>
      <c r="J548" s="4"/>
      <c r="K548" s="4">
        <v>223</v>
      </c>
      <c r="L548" s="4">
        <v>9</v>
      </c>
      <c r="M548" s="4">
        <v>3</v>
      </c>
      <c r="N548" s="4" t="s">
        <v>3</v>
      </c>
      <c r="O548" s="4">
        <v>2</v>
      </c>
      <c r="P548" s="4"/>
      <c r="Q548" s="4"/>
      <c r="R548" s="4"/>
      <c r="S548" s="4"/>
      <c r="T548" s="4"/>
      <c r="U548" s="4"/>
      <c r="V548" s="4"/>
      <c r="W548" s="4"/>
    </row>
    <row r="549" spans="1:23" x14ac:dyDescent="0.2">
      <c r="A549" s="4">
        <v>50</v>
      </c>
      <c r="B549" s="4">
        <v>0</v>
      </c>
      <c r="C549" s="4">
        <v>0</v>
      </c>
      <c r="D549" s="4">
        <v>1</v>
      </c>
      <c r="E549" s="4">
        <v>229</v>
      </c>
      <c r="F549" s="4">
        <f>ROUND(Source!AZ538,O549)</f>
        <v>0</v>
      </c>
      <c r="G549" s="4" t="s">
        <v>68</v>
      </c>
      <c r="H549" s="4" t="s">
        <v>69</v>
      </c>
      <c r="I549" s="4"/>
      <c r="J549" s="4"/>
      <c r="K549" s="4">
        <v>229</v>
      </c>
      <c r="L549" s="4">
        <v>10</v>
      </c>
      <c r="M549" s="4">
        <v>3</v>
      </c>
      <c r="N549" s="4" t="s">
        <v>3</v>
      </c>
      <c r="O549" s="4">
        <v>2</v>
      </c>
      <c r="P549" s="4"/>
      <c r="Q549" s="4"/>
      <c r="R549" s="4"/>
      <c r="S549" s="4"/>
      <c r="T549" s="4"/>
      <c r="U549" s="4"/>
      <c r="V549" s="4"/>
      <c r="W549" s="4"/>
    </row>
    <row r="550" spans="1:23" x14ac:dyDescent="0.2">
      <c r="A550" s="4">
        <v>50</v>
      </c>
      <c r="B550" s="4">
        <v>0</v>
      </c>
      <c r="C550" s="4">
        <v>0</v>
      </c>
      <c r="D550" s="4">
        <v>1</v>
      </c>
      <c r="E550" s="4">
        <v>203</v>
      </c>
      <c r="F550" s="4">
        <f>ROUND(Source!Q538,O550)</f>
        <v>231024.34</v>
      </c>
      <c r="G550" s="4" t="s">
        <v>70</v>
      </c>
      <c r="H550" s="4" t="s">
        <v>71</v>
      </c>
      <c r="I550" s="4"/>
      <c r="J550" s="4"/>
      <c r="K550" s="4">
        <v>203</v>
      </c>
      <c r="L550" s="4">
        <v>11</v>
      </c>
      <c r="M550" s="4">
        <v>3</v>
      </c>
      <c r="N550" s="4" t="s">
        <v>3</v>
      </c>
      <c r="O550" s="4">
        <v>2</v>
      </c>
      <c r="P550" s="4"/>
      <c r="Q550" s="4"/>
      <c r="R550" s="4"/>
      <c r="S550" s="4"/>
      <c r="T550" s="4"/>
      <c r="U550" s="4"/>
      <c r="V550" s="4"/>
      <c r="W550" s="4"/>
    </row>
    <row r="551" spans="1:23" x14ac:dyDescent="0.2">
      <c r="A551" s="4">
        <v>50</v>
      </c>
      <c r="B551" s="4">
        <v>0</v>
      </c>
      <c r="C551" s="4">
        <v>0</v>
      </c>
      <c r="D551" s="4">
        <v>1</v>
      </c>
      <c r="E551" s="4">
        <v>231</v>
      </c>
      <c r="F551" s="4">
        <f>ROUND(Source!BB538,O551)</f>
        <v>0</v>
      </c>
      <c r="G551" s="4" t="s">
        <v>72</v>
      </c>
      <c r="H551" s="4" t="s">
        <v>73</v>
      </c>
      <c r="I551" s="4"/>
      <c r="J551" s="4"/>
      <c r="K551" s="4">
        <v>231</v>
      </c>
      <c r="L551" s="4">
        <v>12</v>
      </c>
      <c r="M551" s="4">
        <v>3</v>
      </c>
      <c r="N551" s="4" t="s">
        <v>3</v>
      </c>
      <c r="O551" s="4">
        <v>2</v>
      </c>
      <c r="P551" s="4"/>
      <c r="Q551" s="4"/>
      <c r="R551" s="4"/>
      <c r="S551" s="4"/>
      <c r="T551" s="4"/>
      <c r="U551" s="4"/>
      <c r="V551" s="4"/>
      <c r="W551" s="4"/>
    </row>
    <row r="552" spans="1:23" x14ac:dyDescent="0.2">
      <c r="A552" s="4">
        <v>50</v>
      </c>
      <c r="B552" s="4">
        <v>0</v>
      </c>
      <c r="C552" s="4">
        <v>0</v>
      </c>
      <c r="D552" s="4">
        <v>1</v>
      </c>
      <c r="E552" s="4">
        <v>204</v>
      </c>
      <c r="F552" s="4">
        <f>ROUND(Source!R538,O552)</f>
        <v>145740.57</v>
      </c>
      <c r="G552" s="4" t="s">
        <v>74</v>
      </c>
      <c r="H552" s="4" t="s">
        <v>75</v>
      </c>
      <c r="I552" s="4"/>
      <c r="J552" s="4"/>
      <c r="K552" s="4">
        <v>204</v>
      </c>
      <c r="L552" s="4">
        <v>13</v>
      </c>
      <c r="M552" s="4">
        <v>3</v>
      </c>
      <c r="N552" s="4" t="s">
        <v>3</v>
      </c>
      <c r="O552" s="4">
        <v>2</v>
      </c>
      <c r="P552" s="4"/>
      <c r="Q552" s="4"/>
      <c r="R552" s="4"/>
      <c r="S552" s="4"/>
      <c r="T552" s="4"/>
      <c r="U552" s="4"/>
      <c r="V552" s="4"/>
      <c r="W552" s="4"/>
    </row>
    <row r="553" spans="1:23" x14ac:dyDescent="0.2">
      <c r="A553" s="4">
        <v>50</v>
      </c>
      <c r="B553" s="4">
        <v>0</v>
      </c>
      <c r="C553" s="4">
        <v>0</v>
      </c>
      <c r="D553" s="4">
        <v>1</v>
      </c>
      <c r="E553" s="4">
        <v>205</v>
      </c>
      <c r="F553" s="4">
        <f>ROUND(Source!S538,O553)</f>
        <v>562844.07999999996</v>
      </c>
      <c r="G553" s="4" t="s">
        <v>76</v>
      </c>
      <c r="H553" s="4" t="s">
        <v>77</v>
      </c>
      <c r="I553" s="4"/>
      <c r="J553" s="4"/>
      <c r="K553" s="4">
        <v>205</v>
      </c>
      <c r="L553" s="4">
        <v>14</v>
      </c>
      <c r="M553" s="4">
        <v>3</v>
      </c>
      <c r="N553" s="4" t="s">
        <v>3</v>
      </c>
      <c r="O553" s="4">
        <v>2</v>
      </c>
      <c r="P553" s="4"/>
      <c r="Q553" s="4"/>
      <c r="R553" s="4"/>
      <c r="S553" s="4"/>
      <c r="T553" s="4"/>
      <c r="U553" s="4"/>
      <c r="V553" s="4"/>
      <c r="W553" s="4"/>
    </row>
    <row r="554" spans="1:23" x14ac:dyDescent="0.2">
      <c r="A554" s="4">
        <v>50</v>
      </c>
      <c r="B554" s="4">
        <v>0</v>
      </c>
      <c r="C554" s="4">
        <v>0</v>
      </c>
      <c r="D554" s="4">
        <v>1</v>
      </c>
      <c r="E554" s="4">
        <v>232</v>
      </c>
      <c r="F554" s="4">
        <f>ROUND(Source!BC538,O554)</f>
        <v>0</v>
      </c>
      <c r="G554" s="4" t="s">
        <v>78</v>
      </c>
      <c r="H554" s="4" t="s">
        <v>79</v>
      </c>
      <c r="I554" s="4"/>
      <c r="J554" s="4"/>
      <c r="K554" s="4">
        <v>232</v>
      </c>
      <c r="L554" s="4">
        <v>15</v>
      </c>
      <c r="M554" s="4">
        <v>3</v>
      </c>
      <c r="N554" s="4" t="s">
        <v>3</v>
      </c>
      <c r="O554" s="4">
        <v>2</v>
      </c>
      <c r="P554" s="4"/>
      <c r="Q554" s="4"/>
      <c r="R554" s="4"/>
      <c r="S554" s="4"/>
      <c r="T554" s="4"/>
      <c r="U554" s="4"/>
      <c r="V554" s="4"/>
      <c r="W554" s="4"/>
    </row>
    <row r="555" spans="1:23" x14ac:dyDescent="0.2">
      <c r="A555" s="4">
        <v>50</v>
      </c>
      <c r="B555" s="4">
        <v>0</v>
      </c>
      <c r="C555" s="4">
        <v>0</v>
      </c>
      <c r="D555" s="4">
        <v>1</v>
      </c>
      <c r="E555" s="4">
        <v>214</v>
      </c>
      <c r="F555" s="4">
        <f>ROUND(Source!AS538,O555)</f>
        <v>0</v>
      </c>
      <c r="G555" s="4" t="s">
        <v>80</v>
      </c>
      <c r="H555" s="4" t="s">
        <v>81</v>
      </c>
      <c r="I555" s="4"/>
      <c r="J555" s="4"/>
      <c r="K555" s="4">
        <v>214</v>
      </c>
      <c r="L555" s="4">
        <v>16</v>
      </c>
      <c r="M555" s="4">
        <v>3</v>
      </c>
      <c r="N555" s="4" t="s">
        <v>3</v>
      </c>
      <c r="O555" s="4">
        <v>2</v>
      </c>
      <c r="P555" s="4"/>
      <c r="Q555" s="4"/>
      <c r="R555" s="4"/>
      <c r="S555" s="4"/>
      <c r="T555" s="4"/>
      <c r="U555" s="4"/>
      <c r="V555" s="4"/>
      <c r="W555" s="4"/>
    </row>
    <row r="556" spans="1:23" x14ac:dyDescent="0.2">
      <c r="A556" s="4">
        <v>50</v>
      </c>
      <c r="B556" s="4">
        <v>0</v>
      </c>
      <c r="C556" s="4">
        <v>0</v>
      </c>
      <c r="D556" s="4">
        <v>1</v>
      </c>
      <c r="E556" s="4">
        <v>215</v>
      </c>
      <c r="F556" s="4">
        <f>ROUND(Source!AT538,O556)</f>
        <v>0</v>
      </c>
      <c r="G556" s="4" t="s">
        <v>82</v>
      </c>
      <c r="H556" s="4" t="s">
        <v>83</v>
      </c>
      <c r="I556" s="4"/>
      <c r="J556" s="4"/>
      <c r="K556" s="4">
        <v>215</v>
      </c>
      <c r="L556" s="4">
        <v>17</v>
      </c>
      <c r="M556" s="4">
        <v>3</v>
      </c>
      <c r="N556" s="4" t="s">
        <v>3</v>
      </c>
      <c r="O556" s="4">
        <v>2</v>
      </c>
      <c r="P556" s="4"/>
      <c r="Q556" s="4"/>
      <c r="R556" s="4"/>
      <c r="S556" s="4"/>
      <c r="T556" s="4"/>
      <c r="U556" s="4"/>
      <c r="V556" s="4"/>
      <c r="W556" s="4"/>
    </row>
    <row r="557" spans="1:23" x14ac:dyDescent="0.2">
      <c r="A557" s="4">
        <v>50</v>
      </c>
      <c r="B557" s="4">
        <v>0</v>
      </c>
      <c r="C557" s="4">
        <v>0</v>
      </c>
      <c r="D557" s="4">
        <v>1</v>
      </c>
      <c r="E557" s="4">
        <v>217</v>
      </c>
      <c r="F557" s="4">
        <f>ROUND(Source!AU538,O557)</f>
        <v>2123104.58</v>
      </c>
      <c r="G557" s="4" t="s">
        <v>84</v>
      </c>
      <c r="H557" s="4" t="s">
        <v>85</v>
      </c>
      <c r="I557" s="4"/>
      <c r="J557" s="4"/>
      <c r="K557" s="4">
        <v>217</v>
      </c>
      <c r="L557" s="4">
        <v>18</v>
      </c>
      <c r="M557" s="4">
        <v>3</v>
      </c>
      <c r="N557" s="4" t="s">
        <v>3</v>
      </c>
      <c r="O557" s="4">
        <v>2</v>
      </c>
      <c r="P557" s="4"/>
      <c r="Q557" s="4"/>
      <c r="R557" s="4"/>
      <c r="S557" s="4"/>
      <c r="T557" s="4"/>
      <c r="U557" s="4"/>
      <c r="V557" s="4"/>
      <c r="W557" s="4"/>
    </row>
    <row r="558" spans="1:23" x14ac:dyDescent="0.2">
      <c r="A558" s="4">
        <v>50</v>
      </c>
      <c r="B558" s="4">
        <v>0</v>
      </c>
      <c r="C558" s="4">
        <v>0</v>
      </c>
      <c r="D558" s="4">
        <v>1</v>
      </c>
      <c r="E558" s="4">
        <v>230</v>
      </c>
      <c r="F558" s="4">
        <f>ROUND(Source!BA538,O558)</f>
        <v>0</v>
      </c>
      <c r="G558" s="4" t="s">
        <v>86</v>
      </c>
      <c r="H558" s="4" t="s">
        <v>87</v>
      </c>
      <c r="I558" s="4"/>
      <c r="J558" s="4"/>
      <c r="K558" s="4">
        <v>230</v>
      </c>
      <c r="L558" s="4">
        <v>19</v>
      </c>
      <c r="M558" s="4">
        <v>3</v>
      </c>
      <c r="N558" s="4" t="s">
        <v>3</v>
      </c>
      <c r="O558" s="4">
        <v>2</v>
      </c>
      <c r="P558" s="4"/>
      <c r="Q558" s="4"/>
      <c r="R558" s="4"/>
      <c r="S558" s="4"/>
      <c r="T558" s="4"/>
      <c r="U558" s="4"/>
      <c r="V558" s="4"/>
      <c r="W558" s="4"/>
    </row>
    <row r="559" spans="1:23" x14ac:dyDescent="0.2">
      <c r="A559" s="4">
        <v>50</v>
      </c>
      <c r="B559" s="4">
        <v>0</v>
      </c>
      <c r="C559" s="4">
        <v>0</v>
      </c>
      <c r="D559" s="4">
        <v>1</v>
      </c>
      <c r="E559" s="4">
        <v>206</v>
      </c>
      <c r="F559" s="4">
        <f>ROUND(Source!T538,O559)</f>
        <v>0</v>
      </c>
      <c r="G559" s="4" t="s">
        <v>88</v>
      </c>
      <c r="H559" s="4" t="s">
        <v>89</v>
      </c>
      <c r="I559" s="4"/>
      <c r="J559" s="4"/>
      <c r="K559" s="4">
        <v>206</v>
      </c>
      <c r="L559" s="4">
        <v>20</v>
      </c>
      <c r="M559" s="4">
        <v>3</v>
      </c>
      <c r="N559" s="4" t="s">
        <v>3</v>
      </c>
      <c r="O559" s="4">
        <v>2</v>
      </c>
      <c r="P559" s="4"/>
      <c r="Q559" s="4"/>
      <c r="R559" s="4"/>
      <c r="S559" s="4"/>
      <c r="T559" s="4"/>
      <c r="U559" s="4"/>
      <c r="V559" s="4"/>
      <c r="W559" s="4"/>
    </row>
    <row r="560" spans="1:23" x14ac:dyDescent="0.2">
      <c r="A560" s="4">
        <v>50</v>
      </c>
      <c r="B560" s="4">
        <v>0</v>
      </c>
      <c r="C560" s="4">
        <v>0</v>
      </c>
      <c r="D560" s="4">
        <v>1</v>
      </c>
      <c r="E560" s="4">
        <v>207</v>
      </c>
      <c r="F560" s="4">
        <f>Source!U538</f>
        <v>2265.8260000000005</v>
      </c>
      <c r="G560" s="4" t="s">
        <v>90</v>
      </c>
      <c r="H560" s="4" t="s">
        <v>91</v>
      </c>
      <c r="I560" s="4"/>
      <c r="J560" s="4"/>
      <c r="K560" s="4">
        <v>207</v>
      </c>
      <c r="L560" s="4">
        <v>21</v>
      </c>
      <c r="M560" s="4">
        <v>3</v>
      </c>
      <c r="N560" s="4" t="s">
        <v>3</v>
      </c>
      <c r="O560" s="4">
        <v>-1</v>
      </c>
      <c r="P560" s="4"/>
      <c r="Q560" s="4"/>
      <c r="R560" s="4"/>
      <c r="S560" s="4"/>
      <c r="T560" s="4"/>
      <c r="U560" s="4"/>
      <c r="V560" s="4"/>
      <c r="W560" s="4"/>
    </row>
    <row r="561" spans="1:206" x14ac:dyDescent="0.2">
      <c r="A561" s="4">
        <v>50</v>
      </c>
      <c r="B561" s="4">
        <v>0</v>
      </c>
      <c r="C561" s="4">
        <v>0</v>
      </c>
      <c r="D561" s="4">
        <v>1</v>
      </c>
      <c r="E561" s="4">
        <v>208</v>
      </c>
      <c r="F561" s="4">
        <f>Source!V538</f>
        <v>0</v>
      </c>
      <c r="G561" s="4" t="s">
        <v>92</v>
      </c>
      <c r="H561" s="4" t="s">
        <v>93</v>
      </c>
      <c r="I561" s="4"/>
      <c r="J561" s="4"/>
      <c r="K561" s="4">
        <v>208</v>
      </c>
      <c r="L561" s="4">
        <v>22</v>
      </c>
      <c r="M561" s="4">
        <v>3</v>
      </c>
      <c r="N561" s="4" t="s">
        <v>3</v>
      </c>
      <c r="O561" s="4">
        <v>-1</v>
      </c>
      <c r="P561" s="4"/>
      <c r="Q561" s="4"/>
      <c r="R561" s="4"/>
      <c r="S561" s="4"/>
      <c r="T561" s="4"/>
      <c r="U561" s="4"/>
      <c r="V561" s="4"/>
      <c r="W561" s="4"/>
    </row>
    <row r="562" spans="1:206" x14ac:dyDescent="0.2">
      <c r="A562" s="4">
        <v>50</v>
      </c>
      <c r="B562" s="4">
        <v>0</v>
      </c>
      <c r="C562" s="4">
        <v>0</v>
      </c>
      <c r="D562" s="4">
        <v>1</v>
      </c>
      <c r="E562" s="4">
        <v>209</v>
      </c>
      <c r="F562" s="4">
        <f>ROUND(Source!W538,O562)</f>
        <v>0</v>
      </c>
      <c r="G562" s="4" t="s">
        <v>94</v>
      </c>
      <c r="H562" s="4" t="s">
        <v>95</v>
      </c>
      <c r="I562" s="4"/>
      <c r="J562" s="4"/>
      <c r="K562" s="4">
        <v>209</v>
      </c>
      <c r="L562" s="4">
        <v>23</v>
      </c>
      <c r="M562" s="4">
        <v>3</v>
      </c>
      <c r="N562" s="4" t="s">
        <v>3</v>
      </c>
      <c r="O562" s="4">
        <v>2</v>
      </c>
      <c r="P562" s="4"/>
      <c r="Q562" s="4"/>
      <c r="R562" s="4"/>
      <c r="S562" s="4"/>
      <c r="T562" s="4"/>
      <c r="U562" s="4"/>
      <c r="V562" s="4"/>
      <c r="W562" s="4"/>
    </row>
    <row r="563" spans="1:206" x14ac:dyDescent="0.2">
      <c r="A563" s="4">
        <v>50</v>
      </c>
      <c r="B563" s="4">
        <v>0</v>
      </c>
      <c r="C563" s="4">
        <v>0</v>
      </c>
      <c r="D563" s="4">
        <v>1</v>
      </c>
      <c r="E563" s="4">
        <v>233</v>
      </c>
      <c r="F563" s="4">
        <f>ROUND(Source!BD538,O563)</f>
        <v>0</v>
      </c>
      <c r="G563" s="4" t="s">
        <v>96</v>
      </c>
      <c r="H563" s="4" t="s">
        <v>97</v>
      </c>
      <c r="I563" s="4"/>
      <c r="J563" s="4"/>
      <c r="K563" s="4">
        <v>233</v>
      </c>
      <c r="L563" s="4">
        <v>24</v>
      </c>
      <c r="M563" s="4">
        <v>3</v>
      </c>
      <c r="N563" s="4" t="s">
        <v>3</v>
      </c>
      <c r="O563" s="4">
        <v>2</v>
      </c>
      <c r="P563" s="4"/>
      <c r="Q563" s="4"/>
      <c r="R563" s="4"/>
      <c r="S563" s="4"/>
      <c r="T563" s="4"/>
      <c r="U563" s="4"/>
      <c r="V563" s="4"/>
      <c r="W563" s="4"/>
    </row>
    <row r="564" spans="1:206" x14ac:dyDescent="0.2">
      <c r="A564" s="4">
        <v>50</v>
      </c>
      <c r="B564" s="4">
        <v>0</v>
      </c>
      <c r="C564" s="4">
        <v>0</v>
      </c>
      <c r="D564" s="4">
        <v>1</v>
      </c>
      <c r="E564" s="4">
        <v>210</v>
      </c>
      <c r="F564" s="4">
        <f>ROUND(Source!X538,O564)</f>
        <v>393990.85</v>
      </c>
      <c r="G564" s="4" t="s">
        <v>98</v>
      </c>
      <c r="H564" s="4" t="s">
        <v>99</v>
      </c>
      <c r="I564" s="4"/>
      <c r="J564" s="4"/>
      <c r="K564" s="4">
        <v>210</v>
      </c>
      <c r="L564" s="4">
        <v>25</v>
      </c>
      <c r="M564" s="4">
        <v>3</v>
      </c>
      <c r="N564" s="4" t="s">
        <v>3</v>
      </c>
      <c r="O564" s="4">
        <v>2</v>
      </c>
      <c r="P564" s="4"/>
      <c r="Q564" s="4"/>
      <c r="R564" s="4"/>
      <c r="S564" s="4"/>
      <c r="T564" s="4"/>
      <c r="U564" s="4"/>
      <c r="V564" s="4"/>
      <c r="W564" s="4"/>
    </row>
    <row r="565" spans="1:206" x14ac:dyDescent="0.2">
      <c r="A565" s="4">
        <v>50</v>
      </c>
      <c r="B565" s="4">
        <v>0</v>
      </c>
      <c r="C565" s="4">
        <v>0</v>
      </c>
      <c r="D565" s="4">
        <v>1</v>
      </c>
      <c r="E565" s="4">
        <v>211</v>
      </c>
      <c r="F565" s="4">
        <f>ROUND(Source!Y538,O565)</f>
        <v>56284.42</v>
      </c>
      <c r="G565" s="4" t="s">
        <v>100</v>
      </c>
      <c r="H565" s="4" t="s">
        <v>101</v>
      </c>
      <c r="I565" s="4"/>
      <c r="J565" s="4"/>
      <c r="K565" s="4">
        <v>211</v>
      </c>
      <c r="L565" s="4">
        <v>26</v>
      </c>
      <c r="M565" s="4">
        <v>3</v>
      </c>
      <c r="N565" s="4" t="s">
        <v>3</v>
      </c>
      <c r="O565" s="4">
        <v>2</v>
      </c>
      <c r="P565" s="4"/>
      <c r="Q565" s="4"/>
      <c r="R565" s="4"/>
      <c r="S565" s="4"/>
      <c r="T565" s="4"/>
      <c r="U565" s="4"/>
      <c r="V565" s="4"/>
      <c r="W565" s="4"/>
    </row>
    <row r="566" spans="1:206" x14ac:dyDescent="0.2">
      <c r="A566" s="4">
        <v>50</v>
      </c>
      <c r="B566" s="4">
        <v>0</v>
      </c>
      <c r="C566" s="4">
        <v>0</v>
      </c>
      <c r="D566" s="4">
        <v>1</v>
      </c>
      <c r="E566" s="4">
        <v>224</v>
      </c>
      <c r="F566" s="4">
        <f>ROUND(Source!AR538,O566)</f>
        <v>2123104.58</v>
      </c>
      <c r="G566" s="4" t="s">
        <v>102</v>
      </c>
      <c r="H566" s="4" t="s">
        <v>103</v>
      </c>
      <c r="I566" s="4"/>
      <c r="J566" s="4"/>
      <c r="K566" s="4">
        <v>224</v>
      </c>
      <c r="L566" s="4">
        <v>27</v>
      </c>
      <c r="M566" s="4">
        <v>3</v>
      </c>
      <c r="N566" s="4" t="s">
        <v>3</v>
      </c>
      <c r="O566" s="4">
        <v>2</v>
      </c>
      <c r="P566" s="4"/>
      <c r="Q566" s="4"/>
      <c r="R566" s="4"/>
      <c r="S566" s="4"/>
      <c r="T566" s="4"/>
      <c r="U566" s="4"/>
      <c r="V566" s="4"/>
      <c r="W566" s="4"/>
    </row>
    <row r="568" spans="1:206" x14ac:dyDescent="0.2">
      <c r="A568" s="2">
        <v>51</v>
      </c>
      <c r="B568" s="2">
        <f>B479</f>
        <v>1</v>
      </c>
      <c r="C568" s="2">
        <f>A479</f>
        <v>4</v>
      </c>
      <c r="D568" s="2">
        <f>ROW(A479)</f>
        <v>479</v>
      </c>
      <c r="E568" s="2"/>
      <c r="F568" s="2" t="str">
        <f>IF(F479&lt;&gt;"",F479,"")</f>
        <v>Новый раздел</v>
      </c>
      <c r="G568" s="2" t="str">
        <f>IF(G479&lt;&gt;"",G479,"")</f>
        <v>Забор</v>
      </c>
      <c r="H568" s="2">
        <v>0</v>
      </c>
      <c r="I568" s="2"/>
      <c r="J568" s="2"/>
      <c r="K568" s="2"/>
      <c r="L568" s="2"/>
      <c r="M568" s="2"/>
      <c r="N568" s="2"/>
      <c r="O568" s="2">
        <f t="shared" ref="O568:T568" si="306">ROUND(O489+O538+AB568,2)</f>
        <v>1540493.99</v>
      </c>
      <c r="P568" s="2">
        <f t="shared" si="306"/>
        <v>721561.08</v>
      </c>
      <c r="Q568" s="2">
        <f t="shared" si="306"/>
        <v>231663.99</v>
      </c>
      <c r="R568" s="2">
        <f t="shared" si="306"/>
        <v>145768.43</v>
      </c>
      <c r="S568" s="2">
        <f t="shared" si="306"/>
        <v>587268.92000000004</v>
      </c>
      <c r="T568" s="2">
        <f t="shared" si="306"/>
        <v>0</v>
      </c>
      <c r="U568" s="2">
        <f>U489+U538+AH568</f>
        <v>2360.7424000000005</v>
      </c>
      <c r="V568" s="2">
        <f>V489+V538+AI568</f>
        <v>0</v>
      </c>
      <c r="W568" s="2">
        <f>ROUND(W489+W538+AJ568,2)</f>
        <v>0</v>
      </c>
      <c r="X568" s="2">
        <f>ROUND(X489+X538+AK568,2)</f>
        <v>411088.24</v>
      </c>
      <c r="Y568" s="2">
        <f>ROUND(Y489+Y538+AL568,2)</f>
        <v>58726.9</v>
      </c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>
        <f t="shared" ref="AO568:BD568" si="307">ROUND(AO489+AO538+BX568,2)</f>
        <v>0</v>
      </c>
      <c r="AP568" s="2">
        <f t="shared" si="307"/>
        <v>0</v>
      </c>
      <c r="AQ568" s="2">
        <f t="shared" si="307"/>
        <v>0</v>
      </c>
      <c r="AR568" s="2">
        <f t="shared" si="307"/>
        <v>2167739.0299999998</v>
      </c>
      <c r="AS568" s="2">
        <f t="shared" si="307"/>
        <v>0</v>
      </c>
      <c r="AT568" s="2">
        <f t="shared" si="307"/>
        <v>0</v>
      </c>
      <c r="AU568" s="2">
        <f t="shared" si="307"/>
        <v>2167739.0299999998</v>
      </c>
      <c r="AV568" s="2">
        <f t="shared" si="307"/>
        <v>721561.08</v>
      </c>
      <c r="AW568" s="2">
        <f t="shared" si="307"/>
        <v>721561.08</v>
      </c>
      <c r="AX568" s="2">
        <f t="shared" si="307"/>
        <v>0</v>
      </c>
      <c r="AY568" s="2">
        <f t="shared" si="307"/>
        <v>721561.08</v>
      </c>
      <c r="AZ568" s="2">
        <f t="shared" si="307"/>
        <v>0</v>
      </c>
      <c r="BA568" s="2">
        <f t="shared" si="307"/>
        <v>0</v>
      </c>
      <c r="BB568" s="2">
        <f t="shared" si="307"/>
        <v>0</v>
      </c>
      <c r="BC568" s="2">
        <f t="shared" si="307"/>
        <v>0</v>
      </c>
      <c r="BD568" s="2">
        <f t="shared" si="307"/>
        <v>0</v>
      </c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3"/>
      <c r="DW568" s="3"/>
      <c r="DX568" s="3"/>
      <c r="DY568" s="3"/>
      <c r="DZ568" s="3"/>
      <c r="EA568" s="3"/>
      <c r="EB568" s="3"/>
      <c r="EC568" s="3"/>
      <c r="ED568" s="3"/>
      <c r="EE568" s="3"/>
      <c r="EF568" s="3"/>
      <c r="EG568" s="3"/>
      <c r="EH568" s="3"/>
      <c r="EI568" s="3"/>
      <c r="EJ568" s="3"/>
      <c r="EK568" s="3"/>
      <c r="EL568" s="3"/>
      <c r="EM568" s="3"/>
      <c r="EN568" s="3"/>
      <c r="EO568" s="3"/>
      <c r="EP568" s="3"/>
      <c r="EQ568" s="3"/>
      <c r="ER568" s="3"/>
      <c r="ES568" s="3"/>
      <c r="ET568" s="3"/>
      <c r="EU568" s="3"/>
      <c r="EV568" s="3"/>
      <c r="EW568" s="3"/>
      <c r="EX568" s="3"/>
      <c r="EY568" s="3"/>
      <c r="EZ568" s="3"/>
      <c r="FA568" s="3"/>
      <c r="FB568" s="3"/>
      <c r="FC568" s="3"/>
      <c r="FD568" s="3"/>
      <c r="FE568" s="3"/>
      <c r="FF568" s="3"/>
      <c r="FG568" s="3"/>
      <c r="FH568" s="3"/>
      <c r="FI568" s="3"/>
      <c r="FJ568" s="3"/>
      <c r="FK568" s="3"/>
      <c r="FL568" s="3"/>
      <c r="FM568" s="3"/>
      <c r="FN568" s="3"/>
      <c r="FO568" s="3"/>
      <c r="FP568" s="3"/>
      <c r="FQ568" s="3"/>
      <c r="FR568" s="3"/>
      <c r="FS568" s="3"/>
      <c r="FT568" s="3"/>
      <c r="FU568" s="3"/>
      <c r="FV568" s="3"/>
      <c r="FW568" s="3"/>
      <c r="FX568" s="3"/>
      <c r="FY568" s="3"/>
      <c r="FZ568" s="3"/>
      <c r="GA568" s="3"/>
      <c r="GB568" s="3"/>
      <c r="GC568" s="3"/>
      <c r="GD568" s="3"/>
      <c r="GE568" s="3"/>
      <c r="GF568" s="3"/>
      <c r="GG568" s="3"/>
      <c r="GH568" s="3"/>
      <c r="GI568" s="3"/>
      <c r="GJ568" s="3"/>
      <c r="GK568" s="3"/>
      <c r="GL568" s="3"/>
      <c r="GM568" s="3"/>
      <c r="GN568" s="3"/>
      <c r="GO568" s="3"/>
      <c r="GP568" s="3"/>
      <c r="GQ568" s="3"/>
      <c r="GR568" s="3"/>
      <c r="GS568" s="3"/>
      <c r="GT568" s="3"/>
      <c r="GU568" s="3"/>
      <c r="GV568" s="3"/>
      <c r="GW568" s="3"/>
      <c r="GX568" s="3">
        <v>0</v>
      </c>
    </row>
    <row r="570" spans="1:206" x14ac:dyDescent="0.2">
      <c r="A570" s="4">
        <v>50</v>
      </c>
      <c r="B570" s="4">
        <v>0</v>
      </c>
      <c r="C570" s="4">
        <v>0</v>
      </c>
      <c r="D570" s="4">
        <v>1</v>
      </c>
      <c r="E570" s="4">
        <v>201</v>
      </c>
      <c r="F570" s="4">
        <f>ROUND(Source!O568,O570)</f>
        <v>1540493.99</v>
      </c>
      <c r="G570" s="4" t="s">
        <v>50</v>
      </c>
      <c r="H570" s="4" t="s">
        <v>51</v>
      </c>
      <c r="I570" s="4"/>
      <c r="J570" s="4"/>
      <c r="K570" s="4">
        <v>201</v>
      </c>
      <c r="L570" s="4">
        <v>1</v>
      </c>
      <c r="M570" s="4">
        <v>3</v>
      </c>
      <c r="N570" s="4" t="s">
        <v>3</v>
      </c>
      <c r="O570" s="4">
        <v>2</v>
      </c>
      <c r="P570" s="4"/>
      <c r="Q570" s="4"/>
      <c r="R570" s="4"/>
      <c r="S570" s="4"/>
      <c r="T570" s="4"/>
      <c r="U570" s="4"/>
      <c r="V570" s="4"/>
      <c r="W570" s="4"/>
    </row>
    <row r="571" spans="1:206" x14ac:dyDescent="0.2">
      <c r="A571" s="4">
        <v>50</v>
      </c>
      <c r="B571" s="4">
        <v>0</v>
      </c>
      <c r="C571" s="4">
        <v>0</v>
      </c>
      <c r="D571" s="4">
        <v>1</v>
      </c>
      <c r="E571" s="4">
        <v>202</v>
      </c>
      <c r="F571" s="4">
        <f>ROUND(Source!P568,O571)</f>
        <v>721561.08</v>
      </c>
      <c r="G571" s="4" t="s">
        <v>52</v>
      </c>
      <c r="H571" s="4" t="s">
        <v>53</v>
      </c>
      <c r="I571" s="4"/>
      <c r="J571" s="4"/>
      <c r="K571" s="4">
        <v>202</v>
      </c>
      <c r="L571" s="4">
        <v>2</v>
      </c>
      <c r="M571" s="4">
        <v>3</v>
      </c>
      <c r="N571" s="4" t="s">
        <v>3</v>
      </c>
      <c r="O571" s="4">
        <v>2</v>
      </c>
      <c r="P571" s="4"/>
      <c r="Q571" s="4"/>
      <c r="R571" s="4"/>
      <c r="S571" s="4"/>
      <c r="T571" s="4"/>
      <c r="U571" s="4"/>
      <c r="V571" s="4"/>
      <c r="W571" s="4"/>
    </row>
    <row r="572" spans="1:206" x14ac:dyDescent="0.2">
      <c r="A572" s="4">
        <v>50</v>
      </c>
      <c r="B572" s="4">
        <v>0</v>
      </c>
      <c r="C572" s="4">
        <v>0</v>
      </c>
      <c r="D572" s="4">
        <v>1</v>
      </c>
      <c r="E572" s="4">
        <v>222</v>
      </c>
      <c r="F572" s="4">
        <f>ROUND(Source!AO568,O572)</f>
        <v>0</v>
      </c>
      <c r="G572" s="4" t="s">
        <v>54</v>
      </c>
      <c r="H572" s="4" t="s">
        <v>55</v>
      </c>
      <c r="I572" s="4"/>
      <c r="J572" s="4"/>
      <c r="K572" s="4">
        <v>222</v>
      </c>
      <c r="L572" s="4">
        <v>3</v>
      </c>
      <c r="M572" s="4">
        <v>3</v>
      </c>
      <c r="N572" s="4" t="s">
        <v>3</v>
      </c>
      <c r="O572" s="4">
        <v>2</v>
      </c>
      <c r="P572" s="4"/>
      <c r="Q572" s="4"/>
      <c r="R572" s="4"/>
      <c r="S572" s="4"/>
      <c r="T572" s="4"/>
      <c r="U572" s="4"/>
      <c r="V572" s="4"/>
      <c r="W572" s="4"/>
    </row>
    <row r="573" spans="1:206" x14ac:dyDescent="0.2">
      <c r="A573" s="4">
        <v>50</v>
      </c>
      <c r="B573" s="4">
        <v>0</v>
      </c>
      <c r="C573" s="4">
        <v>0</v>
      </c>
      <c r="D573" s="4">
        <v>1</v>
      </c>
      <c r="E573" s="4">
        <v>225</v>
      </c>
      <c r="F573" s="4">
        <f>ROUND(Source!AV568,O573)</f>
        <v>721561.08</v>
      </c>
      <c r="G573" s="4" t="s">
        <v>56</v>
      </c>
      <c r="H573" s="4" t="s">
        <v>57</v>
      </c>
      <c r="I573" s="4"/>
      <c r="J573" s="4"/>
      <c r="K573" s="4">
        <v>225</v>
      </c>
      <c r="L573" s="4">
        <v>4</v>
      </c>
      <c r="M573" s="4">
        <v>3</v>
      </c>
      <c r="N573" s="4" t="s">
        <v>3</v>
      </c>
      <c r="O573" s="4">
        <v>2</v>
      </c>
      <c r="P573" s="4"/>
      <c r="Q573" s="4"/>
      <c r="R573" s="4"/>
      <c r="S573" s="4"/>
      <c r="T573" s="4"/>
      <c r="U573" s="4"/>
      <c r="V573" s="4"/>
      <c r="W573" s="4"/>
    </row>
    <row r="574" spans="1:206" x14ac:dyDescent="0.2">
      <c r="A574" s="4">
        <v>50</v>
      </c>
      <c r="B574" s="4">
        <v>0</v>
      </c>
      <c r="C574" s="4">
        <v>0</v>
      </c>
      <c r="D574" s="4">
        <v>1</v>
      </c>
      <c r="E574" s="4">
        <v>226</v>
      </c>
      <c r="F574" s="4">
        <f>ROUND(Source!AW568,O574)</f>
        <v>721561.08</v>
      </c>
      <c r="G574" s="4" t="s">
        <v>58</v>
      </c>
      <c r="H574" s="4" t="s">
        <v>59</v>
      </c>
      <c r="I574" s="4"/>
      <c r="J574" s="4"/>
      <c r="K574" s="4">
        <v>226</v>
      </c>
      <c r="L574" s="4">
        <v>5</v>
      </c>
      <c r="M574" s="4">
        <v>3</v>
      </c>
      <c r="N574" s="4" t="s">
        <v>3</v>
      </c>
      <c r="O574" s="4">
        <v>2</v>
      </c>
      <c r="P574" s="4"/>
      <c r="Q574" s="4"/>
      <c r="R574" s="4"/>
      <c r="S574" s="4"/>
      <c r="T574" s="4"/>
      <c r="U574" s="4"/>
      <c r="V574" s="4"/>
      <c r="W574" s="4"/>
    </row>
    <row r="575" spans="1:206" x14ac:dyDescent="0.2">
      <c r="A575" s="4">
        <v>50</v>
      </c>
      <c r="B575" s="4">
        <v>0</v>
      </c>
      <c r="C575" s="4">
        <v>0</v>
      </c>
      <c r="D575" s="4">
        <v>1</v>
      </c>
      <c r="E575" s="4">
        <v>227</v>
      </c>
      <c r="F575" s="4">
        <f>ROUND(Source!AX568,O575)</f>
        <v>0</v>
      </c>
      <c r="G575" s="4" t="s">
        <v>60</v>
      </c>
      <c r="H575" s="4" t="s">
        <v>61</v>
      </c>
      <c r="I575" s="4"/>
      <c r="J575" s="4"/>
      <c r="K575" s="4">
        <v>227</v>
      </c>
      <c r="L575" s="4">
        <v>6</v>
      </c>
      <c r="M575" s="4">
        <v>3</v>
      </c>
      <c r="N575" s="4" t="s">
        <v>3</v>
      </c>
      <c r="O575" s="4">
        <v>2</v>
      </c>
      <c r="P575" s="4"/>
      <c r="Q575" s="4"/>
      <c r="R575" s="4"/>
      <c r="S575" s="4"/>
      <c r="T575" s="4"/>
      <c r="U575" s="4"/>
      <c r="V575" s="4"/>
      <c r="W575" s="4"/>
    </row>
    <row r="576" spans="1:206" x14ac:dyDescent="0.2">
      <c r="A576" s="4">
        <v>50</v>
      </c>
      <c r="B576" s="4">
        <v>0</v>
      </c>
      <c r="C576" s="4">
        <v>0</v>
      </c>
      <c r="D576" s="4">
        <v>1</v>
      </c>
      <c r="E576" s="4">
        <v>228</v>
      </c>
      <c r="F576" s="4">
        <f>ROUND(Source!AY568,O576)</f>
        <v>721561.08</v>
      </c>
      <c r="G576" s="4" t="s">
        <v>62</v>
      </c>
      <c r="H576" s="4" t="s">
        <v>63</v>
      </c>
      <c r="I576" s="4"/>
      <c r="J576" s="4"/>
      <c r="K576" s="4">
        <v>228</v>
      </c>
      <c r="L576" s="4">
        <v>7</v>
      </c>
      <c r="M576" s="4">
        <v>3</v>
      </c>
      <c r="N576" s="4" t="s">
        <v>3</v>
      </c>
      <c r="O576" s="4">
        <v>2</v>
      </c>
      <c r="P576" s="4"/>
      <c r="Q576" s="4"/>
      <c r="R576" s="4"/>
      <c r="S576" s="4"/>
      <c r="T576" s="4"/>
      <c r="U576" s="4"/>
      <c r="V576" s="4"/>
      <c r="W576" s="4"/>
    </row>
    <row r="577" spans="1:23" x14ac:dyDescent="0.2">
      <c r="A577" s="4">
        <v>50</v>
      </c>
      <c r="B577" s="4">
        <v>0</v>
      </c>
      <c r="C577" s="4">
        <v>0</v>
      </c>
      <c r="D577" s="4">
        <v>1</v>
      </c>
      <c r="E577" s="4">
        <v>216</v>
      </c>
      <c r="F577" s="4">
        <f>ROUND(Source!AP568,O577)</f>
        <v>0</v>
      </c>
      <c r="G577" s="4" t="s">
        <v>64</v>
      </c>
      <c r="H577" s="4" t="s">
        <v>65</v>
      </c>
      <c r="I577" s="4"/>
      <c r="J577" s="4"/>
      <c r="K577" s="4">
        <v>216</v>
      </c>
      <c r="L577" s="4">
        <v>8</v>
      </c>
      <c r="M577" s="4">
        <v>3</v>
      </c>
      <c r="N577" s="4" t="s">
        <v>3</v>
      </c>
      <c r="O577" s="4">
        <v>2</v>
      </c>
      <c r="P577" s="4"/>
      <c r="Q577" s="4"/>
      <c r="R577" s="4"/>
      <c r="S577" s="4"/>
      <c r="T577" s="4"/>
      <c r="U577" s="4"/>
      <c r="V577" s="4"/>
      <c r="W577" s="4"/>
    </row>
    <row r="578" spans="1:23" x14ac:dyDescent="0.2">
      <c r="A578" s="4">
        <v>50</v>
      </c>
      <c r="B578" s="4">
        <v>0</v>
      </c>
      <c r="C578" s="4">
        <v>0</v>
      </c>
      <c r="D578" s="4">
        <v>1</v>
      </c>
      <c r="E578" s="4">
        <v>223</v>
      </c>
      <c r="F578" s="4">
        <f>ROUND(Source!AQ568,O578)</f>
        <v>0</v>
      </c>
      <c r="G578" s="4" t="s">
        <v>66</v>
      </c>
      <c r="H578" s="4" t="s">
        <v>67</v>
      </c>
      <c r="I578" s="4"/>
      <c r="J578" s="4"/>
      <c r="K578" s="4">
        <v>223</v>
      </c>
      <c r="L578" s="4">
        <v>9</v>
      </c>
      <c r="M578" s="4">
        <v>3</v>
      </c>
      <c r="N578" s="4" t="s">
        <v>3</v>
      </c>
      <c r="O578" s="4">
        <v>2</v>
      </c>
      <c r="P578" s="4"/>
      <c r="Q578" s="4"/>
      <c r="R578" s="4"/>
      <c r="S578" s="4"/>
      <c r="T578" s="4"/>
      <c r="U578" s="4"/>
      <c r="V578" s="4"/>
      <c r="W578" s="4"/>
    </row>
    <row r="579" spans="1:23" x14ac:dyDescent="0.2">
      <c r="A579" s="4">
        <v>50</v>
      </c>
      <c r="B579" s="4">
        <v>0</v>
      </c>
      <c r="C579" s="4">
        <v>0</v>
      </c>
      <c r="D579" s="4">
        <v>1</v>
      </c>
      <c r="E579" s="4">
        <v>229</v>
      </c>
      <c r="F579" s="4">
        <f>ROUND(Source!AZ568,O579)</f>
        <v>0</v>
      </c>
      <c r="G579" s="4" t="s">
        <v>68</v>
      </c>
      <c r="H579" s="4" t="s">
        <v>69</v>
      </c>
      <c r="I579" s="4"/>
      <c r="J579" s="4"/>
      <c r="K579" s="4">
        <v>229</v>
      </c>
      <c r="L579" s="4">
        <v>10</v>
      </c>
      <c r="M579" s="4">
        <v>3</v>
      </c>
      <c r="N579" s="4" t="s">
        <v>3</v>
      </c>
      <c r="O579" s="4">
        <v>2</v>
      </c>
      <c r="P579" s="4"/>
      <c r="Q579" s="4"/>
      <c r="R579" s="4"/>
      <c r="S579" s="4"/>
      <c r="T579" s="4"/>
      <c r="U579" s="4"/>
      <c r="V579" s="4"/>
      <c r="W579" s="4"/>
    </row>
    <row r="580" spans="1:23" x14ac:dyDescent="0.2">
      <c r="A580" s="4">
        <v>50</v>
      </c>
      <c r="B580" s="4">
        <v>0</v>
      </c>
      <c r="C580" s="4">
        <v>0</v>
      </c>
      <c r="D580" s="4">
        <v>1</v>
      </c>
      <c r="E580" s="4">
        <v>203</v>
      </c>
      <c r="F580" s="4">
        <f>ROUND(Source!Q568,O580)</f>
        <v>231663.99</v>
      </c>
      <c r="G580" s="4" t="s">
        <v>70</v>
      </c>
      <c r="H580" s="4" t="s">
        <v>71</v>
      </c>
      <c r="I580" s="4"/>
      <c r="J580" s="4"/>
      <c r="K580" s="4">
        <v>203</v>
      </c>
      <c r="L580" s="4">
        <v>11</v>
      </c>
      <c r="M580" s="4">
        <v>3</v>
      </c>
      <c r="N580" s="4" t="s">
        <v>3</v>
      </c>
      <c r="O580" s="4">
        <v>2</v>
      </c>
      <c r="P580" s="4"/>
      <c r="Q580" s="4"/>
      <c r="R580" s="4"/>
      <c r="S580" s="4"/>
      <c r="T580" s="4"/>
      <c r="U580" s="4"/>
      <c r="V580" s="4"/>
      <c r="W580" s="4"/>
    </row>
    <row r="581" spans="1:23" x14ac:dyDescent="0.2">
      <c r="A581" s="4">
        <v>50</v>
      </c>
      <c r="B581" s="4">
        <v>0</v>
      </c>
      <c r="C581" s="4">
        <v>0</v>
      </c>
      <c r="D581" s="4">
        <v>1</v>
      </c>
      <c r="E581" s="4">
        <v>231</v>
      </c>
      <c r="F581" s="4">
        <f>ROUND(Source!BB568,O581)</f>
        <v>0</v>
      </c>
      <c r="G581" s="4" t="s">
        <v>72</v>
      </c>
      <c r="H581" s="4" t="s">
        <v>73</v>
      </c>
      <c r="I581" s="4"/>
      <c r="J581" s="4"/>
      <c r="K581" s="4">
        <v>231</v>
      </c>
      <c r="L581" s="4">
        <v>12</v>
      </c>
      <c r="M581" s="4">
        <v>3</v>
      </c>
      <c r="N581" s="4" t="s">
        <v>3</v>
      </c>
      <c r="O581" s="4">
        <v>2</v>
      </c>
      <c r="P581" s="4"/>
      <c r="Q581" s="4"/>
      <c r="R581" s="4"/>
      <c r="S581" s="4"/>
      <c r="T581" s="4"/>
      <c r="U581" s="4"/>
      <c r="V581" s="4"/>
      <c r="W581" s="4"/>
    </row>
    <row r="582" spans="1:23" x14ac:dyDescent="0.2">
      <c r="A582" s="4">
        <v>50</v>
      </c>
      <c r="B582" s="4">
        <v>0</v>
      </c>
      <c r="C582" s="4">
        <v>0</v>
      </c>
      <c r="D582" s="4">
        <v>1</v>
      </c>
      <c r="E582" s="4">
        <v>204</v>
      </c>
      <c r="F582" s="4">
        <f>ROUND(Source!R568,O582)</f>
        <v>145768.43</v>
      </c>
      <c r="G582" s="4" t="s">
        <v>74</v>
      </c>
      <c r="H582" s="4" t="s">
        <v>75</v>
      </c>
      <c r="I582" s="4"/>
      <c r="J582" s="4"/>
      <c r="K582" s="4">
        <v>204</v>
      </c>
      <c r="L582" s="4">
        <v>13</v>
      </c>
      <c r="M582" s="4">
        <v>3</v>
      </c>
      <c r="N582" s="4" t="s">
        <v>3</v>
      </c>
      <c r="O582" s="4">
        <v>2</v>
      </c>
      <c r="P582" s="4"/>
      <c r="Q582" s="4"/>
      <c r="R582" s="4"/>
      <c r="S582" s="4"/>
      <c r="T582" s="4"/>
      <c r="U582" s="4"/>
      <c r="V582" s="4"/>
      <c r="W582" s="4"/>
    </row>
    <row r="583" spans="1:23" x14ac:dyDescent="0.2">
      <c r="A583" s="4">
        <v>50</v>
      </c>
      <c r="B583" s="4">
        <v>0</v>
      </c>
      <c r="C583" s="4">
        <v>0</v>
      </c>
      <c r="D583" s="4">
        <v>1</v>
      </c>
      <c r="E583" s="4">
        <v>205</v>
      </c>
      <c r="F583" s="4">
        <f>ROUND(Source!S568,O583)</f>
        <v>587268.92000000004</v>
      </c>
      <c r="G583" s="4" t="s">
        <v>76</v>
      </c>
      <c r="H583" s="4" t="s">
        <v>77</v>
      </c>
      <c r="I583" s="4"/>
      <c r="J583" s="4"/>
      <c r="K583" s="4">
        <v>205</v>
      </c>
      <c r="L583" s="4">
        <v>14</v>
      </c>
      <c r="M583" s="4">
        <v>3</v>
      </c>
      <c r="N583" s="4" t="s">
        <v>3</v>
      </c>
      <c r="O583" s="4">
        <v>2</v>
      </c>
      <c r="P583" s="4"/>
      <c r="Q583" s="4"/>
      <c r="R583" s="4"/>
      <c r="S583" s="4"/>
      <c r="T583" s="4"/>
      <c r="U583" s="4"/>
      <c r="V583" s="4"/>
      <c r="W583" s="4"/>
    </row>
    <row r="584" spans="1:23" x14ac:dyDescent="0.2">
      <c r="A584" s="4">
        <v>50</v>
      </c>
      <c r="B584" s="4">
        <v>0</v>
      </c>
      <c r="C584" s="4">
        <v>0</v>
      </c>
      <c r="D584" s="4">
        <v>1</v>
      </c>
      <c r="E584" s="4">
        <v>232</v>
      </c>
      <c r="F584" s="4">
        <f>ROUND(Source!BC568,O584)</f>
        <v>0</v>
      </c>
      <c r="G584" s="4" t="s">
        <v>78</v>
      </c>
      <c r="H584" s="4" t="s">
        <v>79</v>
      </c>
      <c r="I584" s="4"/>
      <c r="J584" s="4"/>
      <c r="K584" s="4">
        <v>232</v>
      </c>
      <c r="L584" s="4">
        <v>15</v>
      </c>
      <c r="M584" s="4">
        <v>3</v>
      </c>
      <c r="N584" s="4" t="s">
        <v>3</v>
      </c>
      <c r="O584" s="4">
        <v>2</v>
      </c>
      <c r="P584" s="4"/>
      <c r="Q584" s="4"/>
      <c r="R584" s="4"/>
      <c r="S584" s="4"/>
      <c r="T584" s="4"/>
      <c r="U584" s="4"/>
      <c r="V584" s="4"/>
      <c r="W584" s="4"/>
    </row>
    <row r="585" spans="1:23" x14ac:dyDescent="0.2">
      <c r="A585" s="4">
        <v>50</v>
      </c>
      <c r="B585" s="4">
        <v>0</v>
      </c>
      <c r="C585" s="4">
        <v>0</v>
      </c>
      <c r="D585" s="4">
        <v>1</v>
      </c>
      <c r="E585" s="4">
        <v>214</v>
      </c>
      <c r="F585" s="4">
        <f>ROUND(Source!AS568,O585)</f>
        <v>0</v>
      </c>
      <c r="G585" s="4" t="s">
        <v>80</v>
      </c>
      <c r="H585" s="4" t="s">
        <v>81</v>
      </c>
      <c r="I585" s="4"/>
      <c r="J585" s="4"/>
      <c r="K585" s="4">
        <v>214</v>
      </c>
      <c r="L585" s="4">
        <v>16</v>
      </c>
      <c r="M585" s="4">
        <v>3</v>
      </c>
      <c r="N585" s="4" t="s">
        <v>3</v>
      </c>
      <c r="O585" s="4">
        <v>2</v>
      </c>
      <c r="P585" s="4"/>
      <c r="Q585" s="4"/>
      <c r="R585" s="4"/>
      <c r="S585" s="4"/>
      <c r="T585" s="4"/>
      <c r="U585" s="4"/>
      <c r="V585" s="4"/>
      <c r="W585" s="4"/>
    </row>
    <row r="586" spans="1:23" x14ac:dyDescent="0.2">
      <c r="A586" s="4">
        <v>50</v>
      </c>
      <c r="B586" s="4">
        <v>0</v>
      </c>
      <c r="C586" s="4">
        <v>0</v>
      </c>
      <c r="D586" s="4">
        <v>1</v>
      </c>
      <c r="E586" s="4">
        <v>215</v>
      </c>
      <c r="F586" s="4">
        <f>ROUND(Source!AT568,O586)</f>
        <v>0</v>
      </c>
      <c r="G586" s="4" t="s">
        <v>82</v>
      </c>
      <c r="H586" s="4" t="s">
        <v>83</v>
      </c>
      <c r="I586" s="4"/>
      <c r="J586" s="4"/>
      <c r="K586" s="4">
        <v>215</v>
      </c>
      <c r="L586" s="4">
        <v>17</v>
      </c>
      <c r="M586" s="4">
        <v>3</v>
      </c>
      <c r="N586" s="4" t="s">
        <v>3</v>
      </c>
      <c r="O586" s="4">
        <v>2</v>
      </c>
      <c r="P586" s="4"/>
      <c r="Q586" s="4"/>
      <c r="R586" s="4"/>
      <c r="S586" s="4"/>
      <c r="T586" s="4"/>
      <c r="U586" s="4"/>
      <c r="V586" s="4"/>
      <c r="W586" s="4"/>
    </row>
    <row r="587" spans="1:23" x14ac:dyDescent="0.2">
      <c r="A587" s="4">
        <v>50</v>
      </c>
      <c r="B587" s="4">
        <v>0</v>
      </c>
      <c r="C587" s="4">
        <v>0</v>
      </c>
      <c r="D587" s="4">
        <v>1</v>
      </c>
      <c r="E587" s="4">
        <v>217</v>
      </c>
      <c r="F587" s="4">
        <f>ROUND(Source!AU568,O587)</f>
        <v>2167739.0299999998</v>
      </c>
      <c r="G587" s="4" t="s">
        <v>84</v>
      </c>
      <c r="H587" s="4" t="s">
        <v>85</v>
      </c>
      <c r="I587" s="4"/>
      <c r="J587" s="4"/>
      <c r="K587" s="4">
        <v>217</v>
      </c>
      <c r="L587" s="4">
        <v>18</v>
      </c>
      <c r="M587" s="4">
        <v>3</v>
      </c>
      <c r="N587" s="4" t="s">
        <v>3</v>
      </c>
      <c r="O587" s="4">
        <v>2</v>
      </c>
      <c r="P587" s="4"/>
      <c r="Q587" s="4"/>
      <c r="R587" s="4"/>
      <c r="S587" s="4"/>
      <c r="T587" s="4"/>
      <c r="U587" s="4"/>
      <c r="V587" s="4"/>
      <c r="W587" s="4"/>
    </row>
    <row r="588" spans="1:23" x14ac:dyDescent="0.2">
      <c r="A588" s="4">
        <v>50</v>
      </c>
      <c r="B588" s="4">
        <v>0</v>
      </c>
      <c r="C588" s="4">
        <v>0</v>
      </c>
      <c r="D588" s="4">
        <v>1</v>
      </c>
      <c r="E588" s="4">
        <v>230</v>
      </c>
      <c r="F588" s="4">
        <f>ROUND(Source!BA568,O588)</f>
        <v>0</v>
      </c>
      <c r="G588" s="4" t="s">
        <v>86</v>
      </c>
      <c r="H588" s="4" t="s">
        <v>87</v>
      </c>
      <c r="I588" s="4"/>
      <c r="J588" s="4"/>
      <c r="K588" s="4">
        <v>230</v>
      </c>
      <c r="L588" s="4">
        <v>19</v>
      </c>
      <c r="M588" s="4">
        <v>3</v>
      </c>
      <c r="N588" s="4" t="s">
        <v>3</v>
      </c>
      <c r="O588" s="4">
        <v>2</v>
      </c>
      <c r="P588" s="4"/>
      <c r="Q588" s="4"/>
      <c r="R588" s="4"/>
      <c r="S588" s="4"/>
      <c r="T588" s="4"/>
      <c r="U588" s="4"/>
      <c r="V588" s="4"/>
      <c r="W588" s="4"/>
    </row>
    <row r="589" spans="1:23" x14ac:dyDescent="0.2">
      <c r="A589" s="4">
        <v>50</v>
      </c>
      <c r="B589" s="4">
        <v>0</v>
      </c>
      <c r="C589" s="4">
        <v>0</v>
      </c>
      <c r="D589" s="4">
        <v>1</v>
      </c>
      <c r="E589" s="4">
        <v>206</v>
      </c>
      <c r="F589" s="4">
        <f>ROUND(Source!T568,O589)</f>
        <v>0</v>
      </c>
      <c r="G589" s="4" t="s">
        <v>88</v>
      </c>
      <c r="H589" s="4" t="s">
        <v>89</v>
      </c>
      <c r="I589" s="4"/>
      <c r="J589" s="4"/>
      <c r="K589" s="4">
        <v>206</v>
      </c>
      <c r="L589" s="4">
        <v>20</v>
      </c>
      <c r="M589" s="4">
        <v>3</v>
      </c>
      <c r="N589" s="4" t="s">
        <v>3</v>
      </c>
      <c r="O589" s="4">
        <v>2</v>
      </c>
      <c r="P589" s="4"/>
      <c r="Q589" s="4"/>
      <c r="R589" s="4"/>
      <c r="S589" s="4"/>
      <c r="T589" s="4"/>
      <c r="U589" s="4"/>
      <c r="V589" s="4"/>
      <c r="W589" s="4"/>
    </row>
    <row r="590" spans="1:23" x14ac:dyDescent="0.2">
      <c r="A590" s="4">
        <v>50</v>
      </c>
      <c r="B590" s="4">
        <v>0</v>
      </c>
      <c r="C590" s="4">
        <v>0</v>
      </c>
      <c r="D590" s="4">
        <v>1</v>
      </c>
      <c r="E590" s="4">
        <v>207</v>
      </c>
      <c r="F590" s="4">
        <f>Source!U568</f>
        <v>2360.7424000000005</v>
      </c>
      <c r="G590" s="4" t="s">
        <v>90</v>
      </c>
      <c r="H590" s="4" t="s">
        <v>91</v>
      </c>
      <c r="I590" s="4"/>
      <c r="J590" s="4"/>
      <c r="K590" s="4">
        <v>207</v>
      </c>
      <c r="L590" s="4">
        <v>21</v>
      </c>
      <c r="M590" s="4">
        <v>3</v>
      </c>
      <c r="N590" s="4" t="s">
        <v>3</v>
      </c>
      <c r="O590" s="4">
        <v>-1</v>
      </c>
      <c r="P590" s="4"/>
      <c r="Q590" s="4"/>
      <c r="R590" s="4"/>
      <c r="S590" s="4"/>
      <c r="T590" s="4"/>
      <c r="U590" s="4"/>
      <c r="V590" s="4"/>
      <c r="W590" s="4"/>
    </row>
    <row r="591" spans="1:23" x14ac:dyDescent="0.2">
      <c r="A591" s="4">
        <v>50</v>
      </c>
      <c r="B591" s="4">
        <v>0</v>
      </c>
      <c r="C591" s="4">
        <v>0</v>
      </c>
      <c r="D591" s="4">
        <v>1</v>
      </c>
      <c r="E591" s="4">
        <v>208</v>
      </c>
      <c r="F591" s="4">
        <f>Source!V568</f>
        <v>0</v>
      </c>
      <c r="G591" s="4" t="s">
        <v>92</v>
      </c>
      <c r="H591" s="4" t="s">
        <v>93</v>
      </c>
      <c r="I591" s="4"/>
      <c r="J591" s="4"/>
      <c r="K591" s="4">
        <v>208</v>
      </c>
      <c r="L591" s="4">
        <v>22</v>
      </c>
      <c r="M591" s="4">
        <v>3</v>
      </c>
      <c r="N591" s="4" t="s">
        <v>3</v>
      </c>
      <c r="O591" s="4">
        <v>-1</v>
      </c>
      <c r="P591" s="4"/>
      <c r="Q591" s="4"/>
      <c r="R591" s="4"/>
      <c r="S591" s="4"/>
      <c r="T591" s="4"/>
      <c r="U591" s="4"/>
      <c r="V591" s="4"/>
      <c r="W591" s="4"/>
    </row>
    <row r="592" spans="1:23" x14ac:dyDescent="0.2">
      <c r="A592" s="4">
        <v>50</v>
      </c>
      <c r="B592" s="4">
        <v>0</v>
      </c>
      <c r="C592" s="4">
        <v>0</v>
      </c>
      <c r="D592" s="4">
        <v>1</v>
      </c>
      <c r="E592" s="4">
        <v>209</v>
      </c>
      <c r="F592" s="4">
        <f>ROUND(Source!W568,O592)</f>
        <v>0</v>
      </c>
      <c r="G592" s="4" t="s">
        <v>94</v>
      </c>
      <c r="H592" s="4" t="s">
        <v>95</v>
      </c>
      <c r="I592" s="4"/>
      <c r="J592" s="4"/>
      <c r="K592" s="4">
        <v>209</v>
      </c>
      <c r="L592" s="4">
        <v>23</v>
      </c>
      <c r="M592" s="4">
        <v>3</v>
      </c>
      <c r="N592" s="4" t="s">
        <v>3</v>
      </c>
      <c r="O592" s="4">
        <v>2</v>
      </c>
      <c r="P592" s="4"/>
      <c r="Q592" s="4"/>
      <c r="R592" s="4"/>
      <c r="S592" s="4"/>
      <c r="T592" s="4"/>
      <c r="U592" s="4"/>
      <c r="V592" s="4"/>
      <c r="W592" s="4"/>
    </row>
    <row r="593" spans="1:245" x14ac:dyDescent="0.2">
      <c r="A593" s="4">
        <v>50</v>
      </c>
      <c r="B593" s="4">
        <v>0</v>
      </c>
      <c r="C593" s="4">
        <v>0</v>
      </c>
      <c r="D593" s="4">
        <v>1</v>
      </c>
      <c r="E593" s="4">
        <v>233</v>
      </c>
      <c r="F593" s="4">
        <f>ROUND(Source!BD568,O593)</f>
        <v>0</v>
      </c>
      <c r="G593" s="4" t="s">
        <v>96</v>
      </c>
      <c r="H593" s="4" t="s">
        <v>97</v>
      </c>
      <c r="I593" s="4"/>
      <c r="J593" s="4"/>
      <c r="K593" s="4">
        <v>233</v>
      </c>
      <c r="L593" s="4">
        <v>24</v>
      </c>
      <c r="M593" s="4">
        <v>3</v>
      </c>
      <c r="N593" s="4" t="s">
        <v>3</v>
      </c>
      <c r="O593" s="4">
        <v>2</v>
      </c>
      <c r="P593" s="4"/>
      <c r="Q593" s="4"/>
      <c r="R593" s="4"/>
      <c r="S593" s="4"/>
      <c r="T593" s="4"/>
      <c r="U593" s="4"/>
      <c r="V593" s="4"/>
      <c r="W593" s="4"/>
    </row>
    <row r="594" spans="1:245" x14ac:dyDescent="0.2">
      <c r="A594" s="4">
        <v>50</v>
      </c>
      <c r="B594" s="4">
        <v>0</v>
      </c>
      <c r="C594" s="4">
        <v>0</v>
      </c>
      <c r="D594" s="4">
        <v>1</v>
      </c>
      <c r="E594" s="4">
        <v>210</v>
      </c>
      <c r="F594" s="4">
        <f>ROUND(Source!X568,O594)</f>
        <v>411088.24</v>
      </c>
      <c r="G594" s="4" t="s">
        <v>98</v>
      </c>
      <c r="H594" s="4" t="s">
        <v>99</v>
      </c>
      <c r="I594" s="4"/>
      <c r="J594" s="4"/>
      <c r="K594" s="4">
        <v>210</v>
      </c>
      <c r="L594" s="4">
        <v>25</v>
      </c>
      <c r="M594" s="4">
        <v>3</v>
      </c>
      <c r="N594" s="4" t="s">
        <v>3</v>
      </c>
      <c r="O594" s="4">
        <v>2</v>
      </c>
      <c r="P594" s="4"/>
      <c r="Q594" s="4"/>
      <c r="R594" s="4"/>
      <c r="S594" s="4"/>
      <c r="T594" s="4"/>
      <c r="U594" s="4"/>
      <c r="V594" s="4"/>
      <c r="W594" s="4"/>
    </row>
    <row r="595" spans="1:245" x14ac:dyDescent="0.2">
      <c r="A595" s="4">
        <v>50</v>
      </c>
      <c r="B595" s="4">
        <v>0</v>
      </c>
      <c r="C595" s="4">
        <v>0</v>
      </c>
      <c r="D595" s="4">
        <v>1</v>
      </c>
      <c r="E595" s="4">
        <v>211</v>
      </c>
      <c r="F595" s="4">
        <f>ROUND(Source!Y568,O595)</f>
        <v>58726.9</v>
      </c>
      <c r="G595" s="4" t="s">
        <v>100</v>
      </c>
      <c r="H595" s="4" t="s">
        <v>101</v>
      </c>
      <c r="I595" s="4"/>
      <c r="J595" s="4"/>
      <c r="K595" s="4">
        <v>211</v>
      </c>
      <c r="L595" s="4">
        <v>26</v>
      </c>
      <c r="M595" s="4">
        <v>3</v>
      </c>
      <c r="N595" s="4" t="s">
        <v>3</v>
      </c>
      <c r="O595" s="4">
        <v>2</v>
      </c>
      <c r="P595" s="4"/>
      <c r="Q595" s="4"/>
      <c r="R595" s="4"/>
      <c r="S595" s="4"/>
      <c r="T595" s="4"/>
      <c r="U595" s="4"/>
      <c r="V595" s="4"/>
      <c r="W595" s="4"/>
    </row>
    <row r="596" spans="1:245" x14ac:dyDescent="0.2">
      <c r="A596" s="4">
        <v>50</v>
      </c>
      <c r="B596" s="4">
        <v>0</v>
      </c>
      <c r="C596" s="4">
        <v>0</v>
      </c>
      <c r="D596" s="4">
        <v>1</v>
      </c>
      <c r="E596" s="4">
        <v>224</v>
      </c>
      <c r="F596" s="4">
        <f>ROUND(Source!AR568,O596)</f>
        <v>2167739.0299999998</v>
      </c>
      <c r="G596" s="4" t="s">
        <v>102</v>
      </c>
      <c r="H596" s="4" t="s">
        <v>103</v>
      </c>
      <c r="I596" s="4"/>
      <c r="J596" s="4"/>
      <c r="K596" s="4">
        <v>224</v>
      </c>
      <c r="L596" s="4">
        <v>27</v>
      </c>
      <c r="M596" s="4">
        <v>3</v>
      </c>
      <c r="N596" s="4" t="s">
        <v>3</v>
      </c>
      <c r="O596" s="4">
        <v>2</v>
      </c>
      <c r="P596" s="4"/>
      <c r="Q596" s="4"/>
      <c r="R596" s="4"/>
      <c r="S596" s="4"/>
      <c r="T596" s="4"/>
      <c r="U596" s="4"/>
      <c r="V596" s="4"/>
      <c r="W596" s="4"/>
    </row>
    <row r="598" spans="1:245" x14ac:dyDescent="0.2">
      <c r="A598" s="1">
        <v>4</v>
      </c>
      <c r="B598" s="1">
        <v>1</v>
      </c>
      <c r="C598" s="1"/>
      <c r="D598" s="1">
        <f>ROW(A640)</f>
        <v>640</v>
      </c>
      <c r="E598" s="1"/>
      <c r="F598" s="1" t="s">
        <v>12</v>
      </c>
      <c r="G598" s="1" t="s">
        <v>334</v>
      </c>
      <c r="H598" s="1" t="s">
        <v>3</v>
      </c>
      <c r="I598" s="1">
        <v>0</v>
      </c>
      <c r="J598" s="1"/>
      <c r="K598" s="1">
        <v>0</v>
      </c>
      <c r="L598" s="1"/>
      <c r="M598" s="1"/>
      <c r="N598" s="1"/>
      <c r="O598" s="1"/>
      <c r="P598" s="1"/>
      <c r="Q598" s="1"/>
      <c r="R598" s="1"/>
      <c r="S598" s="1"/>
      <c r="T598" s="1"/>
      <c r="U598" s="1" t="s">
        <v>3</v>
      </c>
      <c r="V598" s="1">
        <v>0</v>
      </c>
      <c r="W598" s="1"/>
      <c r="X598" s="1"/>
      <c r="Y598" s="1"/>
      <c r="Z598" s="1"/>
      <c r="AA598" s="1"/>
      <c r="AB598" s="1" t="s">
        <v>3</v>
      </c>
      <c r="AC598" s="1" t="s">
        <v>3</v>
      </c>
      <c r="AD598" s="1" t="s">
        <v>3</v>
      </c>
      <c r="AE598" s="1" t="s">
        <v>3</v>
      </c>
      <c r="AF598" s="1" t="s">
        <v>3</v>
      </c>
      <c r="AG598" s="1" t="s">
        <v>3</v>
      </c>
      <c r="AH598" s="1"/>
      <c r="AI598" s="1"/>
      <c r="AJ598" s="1"/>
      <c r="AK598" s="1"/>
      <c r="AL598" s="1"/>
      <c r="AM598" s="1"/>
      <c r="AN598" s="1"/>
      <c r="AO598" s="1"/>
      <c r="AP598" s="1" t="s">
        <v>3</v>
      </c>
      <c r="AQ598" s="1" t="s">
        <v>3</v>
      </c>
      <c r="AR598" s="1" t="s">
        <v>3</v>
      </c>
      <c r="AS598" s="1"/>
      <c r="AT598" s="1"/>
      <c r="AU598" s="1"/>
      <c r="AV598" s="1"/>
      <c r="AW598" s="1"/>
      <c r="AX598" s="1"/>
      <c r="AY598" s="1"/>
      <c r="AZ598" s="1" t="s">
        <v>3</v>
      </c>
      <c r="BA598" s="1"/>
      <c r="BB598" s="1" t="s">
        <v>3</v>
      </c>
      <c r="BC598" s="1" t="s">
        <v>3</v>
      </c>
      <c r="BD598" s="1" t="s">
        <v>3</v>
      </c>
      <c r="BE598" s="1" t="s">
        <v>3</v>
      </c>
      <c r="BF598" s="1" t="s">
        <v>3</v>
      </c>
      <c r="BG598" s="1" t="s">
        <v>3</v>
      </c>
      <c r="BH598" s="1" t="s">
        <v>3</v>
      </c>
      <c r="BI598" s="1" t="s">
        <v>3</v>
      </c>
      <c r="BJ598" s="1" t="s">
        <v>3</v>
      </c>
      <c r="BK598" s="1" t="s">
        <v>3</v>
      </c>
      <c r="BL598" s="1" t="s">
        <v>3</v>
      </c>
      <c r="BM598" s="1" t="s">
        <v>3</v>
      </c>
      <c r="BN598" s="1" t="s">
        <v>3</v>
      </c>
      <c r="BO598" s="1" t="s">
        <v>3</v>
      </c>
      <c r="BP598" s="1" t="s">
        <v>3</v>
      </c>
      <c r="BQ598" s="1"/>
      <c r="BR598" s="1"/>
      <c r="BS598" s="1"/>
      <c r="BT598" s="1"/>
      <c r="BU598" s="1"/>
      <c r="BV598" s="1"/>
      <c r="BW598" s="1"/>
      <c r="BX598" s="1">
        <v>0</v>
      </c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>
        <v>0</v>
      </c>
    </row>
    <row r="600" spans="1:245" x14ac:dyDescent="0.2">
      <c r="A600" s="2">
        <v>52</v>
      </c>
      <c r="B600" s="2">
        <f t="shared" ref="B600:G600" si="308">B640</f>
        <v>1</v>
      </c>
      <c r="C600" s="2">
        <f t="shared" si="308"/>
        <v>4</v>
      </c>
      <c r="D600" s="2">
        <f t="shared" si="308"/>
        <v>598</v>
      </c>
      <c r="E600" s="2">
        <f t="shared" si="308"/>
        <v>0</v>
      </c>
      <c r="F600" s="2" t="str">
        <f t="shared" si="308"/>
        <v>Новый раздел</v>
      </c>
      <c r="G600" s="2" t="str">
        <f t="shared" si="308"/>
        <v>Асфальт</v>
      </c>
      <c r="H600" s="2"/>
      <c r="I600" s="2"/>
      <c r="J600" s="2"/>
      <c r="K600" s="2"/>
      <c r="L600" s="2"/>
      <c r="M600" s="2"/>
      <c r="N600" s="2"/>
      <c r="O600" s="2">
        <f t="shared" ref="O600:AT600" si="309">O640</f>
        <v>500806.84</v>
      </c>
      <c r="P600" s="2">
        <f t="shared" si="309"/>
        <v>358241.42</v>
      </c>
      <c r="Q600" s="2">
        <f t="shared" si="309"/>
        <v>68496.789999999994</v>
      </c>
      <c r="R600" s="2">
        <f t="shared" si="309"/>
        <v>39371.230000000003</v>
      </c>
      <c r="S600" s="2">
        <f t="shared" si="309"/>
        <v>74068.63</v>
      </c>
      <c r="T600" s="2">
        <f t="shared" si="309"/>
        <v>0</v>
      </c>
      <c r="U600" s="2">
        <f t="shared" si="309"/>
        <v>363.24187499999999</v>
      </c>
      <c r="V600" s="2">
        <f t="shared" si="309"/>
        <v>0</v>
      </c>
      <c r="W600" s="2">
        <f t="shared" si="309"/>
        <v>0</v>
      </c>
      <c r="X600" s="2">
        <f t="shared" si="309"/>
        <v>51848.04</v>
      </c>
      <c r="Y600" s="2">
        <f t="shared" si="309"/>
        <v>7406.87</v>
      </c>
      <c r="Z600" s="2">
        <f t="shared" si="309"/>
        <v>0</v>
      </c>
      <c r="AA600" s="2">
        <f t="shared" si="309"/>
        <v>0</v>
      </c>
      <c r="AB600" s="2">
        <f t="shared" si="309"/>
        <v>0</v>
      </c>
      <c r="AC600" s="2">
        <f t="shared" si="309"/>
        <v>0</v>
      </c>
      <c r="AD600" s="2">
        <f t="shared" si="309"/>
        <v>0</v>
      </c>
      <c r="AE600" s="2">
        <f t="shared" si="309"/>
        <v>0</v>
      </c>
      <c r="AF600" s="2">
        <f t="shared" si="309"/>
        <v>0</v>
      </c>
      <c r="AG600" s="2">
        <f t="shared" si="309"/>
        <v>0</v>
      </c>
      <c r="AH600" s="2">
        <f t="shared" si="309"/>
        <v>0</v>
      </c>
      <c r="AI600" s="2">
        <f t="shared" si="309"/>
        <v>0</v>
      </c>
      <c r="AJ600" s="2">
        <f t="shared" si="309"/>
        <v>0</v>
      </c>
      <c r="AK600" s="2">
        <f t="shared" si="309"/>
        <v>0</v>
      </c>
      <c r="AL600" s="2">
        <f t="shared" si="309"/>
        <v>0</v>
      </c>
      <c r="AM600" s="2">
        <f t="shared" si="309"/>
        <v>0</v>
      </c>
      <c r="AN600" s="2">
        <f t="shared" si="309"/>
        <v>0</v>
      </c>
      <c r="AO600" s="2">
        <f t="shared" si="309"/>
        <v>0</v>
      </c>
      <c r="AP600" s="2">
        <f t="shared" si="309"/>
        <v>0</v>
      </c>
      <c r="AQ600" s="2">
        <f t="shared" si="309"/>
        <v>0</v>
      </c>
      <c r="AR600" s="2">
        <f t="shared" si="309"/>
        <v>602582.68000000005</v>
      </c>
      <c r="AS600" s="2">
        <f t="shared" si="309"/>
        <v>0</v>
      </c>
      <c r="AT600" s="2">
        <f t="shared" si="309"/>
        <v>0</v>
      </c>
      <c r="AU600" s="2">
        <f t="shared" ref="AU600:BZ600" si="310">AU640</f>
        <v>602582.68000000005</v>
      </c>
      <c r="AV600" s="2">
        <f t="shared" si="310"/>
        <v>358241.42</v>
      </c>
      <c r="AW600" s="2">
        <f t="shared" si="310"/>
        <v>358241.42</v>
      </c>
      <c r="AX600" s="2">
        <f t="shared" si="310"/>
        <v>0</v>
      </c>
      <c r="AY600" s="2">
        <f t="shared" si="310"/>
        <v>358241.42</v>
      </c>
      <c r="AZ600" s="2">
        <f t="shared" si="310"/>
        <v>0</v>
      </c>
      <c r="BA600" s="2">
        <f t="shared" si="310"/>
        <v>0</v>
      </c>
      <c r="BB600" s="2">
        <f t="shared" si="310"/>
        <v>0</v>
      </c>
      <c r="BC600" s="2">
        <f t="shared" si="310"/>
        <v>0</v>
      </c>
      <c r="BD600" s="2">
        <f t="shared" si="310"/>
        <v>0</v>
      </c>
      <c r="BE600" s="2">
        <f t="shared" si="310"/>
        <v>0</v>
      </c>
      <c r="BF600" s="2">
        <f t="shared" si="310"/>
        <v>0</v>
      </c>
      <c r="BG600" s="2">
        <f t="shared" si="310"/>
        <v>0</v>
      </c>
      <c r="BH600" s="2">
        <f t="shared" si="310"/>
        <v>0</v>
      </c>
      <c r="BI600" s="2">
        <f t="shared" si="310"/>
        <v>0</v>
      </c>
      <c r="BJ600" s="2">
        <f t="shared" si="310"/>
        <v>0</v>
      </c>
      <c r="BK600" s="2">
        <f t="shared" si="310"/>
        <v>0</v>
      </c>
      <c r="BL600" s="2">
        <f t="shared" si="310"/>
        <v>0</v>
      </c>
      <c r="BM600" s="2">
        <f t="shared" si="310"/>
        <v>0</v>
      </c>
      <c r="BN600" s="2">
        <f t="shared" si="310"/>
        <v>0</v>
      </c>
      <c r="BO600" s="2">
        <f t="shared" si="310"/>
        <v>0</v>
      </c>
      <c r="BP600" s="2">
        <f t="shared" si="310"/>
        <v>0</v>
      </c>
      <c r="BQ600" s="2">
        <f t="shared" si="310"/>
        <v>0</v>
      </c>
      <c r="BR600" s="2">
        <f t="shared" si="310"/>
        <v>0</v>
      </c>
      <c r="BS600" s="2">
        <f t="shared" si="310"/>
        <v>0</v>
      </c>
      <c r="BT600" s="2">
        <f t="shared" si="310"/>
        <v>0</v>
      </c>
      <c r="BU600" s="2">
        <f t="shared" si="310"/>
        <v>0</v>
      </c>
      <c r="BV600" s="2">
        <f t="shared" si="310"/>
        <v>0</v>
      </c>
      <c r="BW600" s="2">
        <f t="shared" si="310"/>
        <v>0</v>
      </c>
      <c r="BX600" s="2">
        <f t="shared" si="310"/>
        <v>0</v>
      </c>
      <c r="BY600" s="2">
        <f t="shared" si="310"/>
        <v>0</v>
      </c>
      <c r="BZ600" s="2">
        <f t="shared" si="310"/>
        <v>0</v>
      </c>
      <c r="CA600" s="2">
        <f t="shared" ref="CA600:DF600" si="311">CA640</f>
        <v>0</v>
      </c>
      <c r="CB600" s="2">
        <f t="shared" si="311"/>
        <v>0</v>
      </c>
      <c r="CC600" s="2">
        <f t="shared" si="311"/>
        <v>0</v>
      </c>
      <c r="CD600" s="2">
        <f t="shared" si="311"/>
        <v>0</v>
      </c>
      <c r="CE600" s="2">
        <f t="shared" si="311"/>
        <v>0</v>
      </c>
      <c r="CF600" s="2">
        <f t="shared" si="311"/>
        <v>0</v>
      </c>
      <c r="CG600" s="2">
        <f t="shared" si="311"/>
        <v>0</v>
      </c>
      <c r="CH600" s="2">
        <f t="shared" si="311"/>
        <v>0</v>
      </c>
      <c r="CI600" s="2">
        <f t="shared" si="311"/>
        <v>0</v>
      </c>
      <c r="CJ600" s="2">
        <f t="shared" si="311"/>
        <v>0</v>
      </c>
      <c r="CK600" s="2">
        <f t="shared" si="311"/>
        <v>0</v>
      </c>
      <c r="CL600" s="2">
        <f t="shared" si="311"/>
        <v>0</v>
      </c>
      <c r="CM600" s="2">
        <f t="shared" si="311"/>
        <v>0</v>
      </c>
      <c r="CN600" s="2">
        <f t="shared" si="311"/>
        <v>0</v>
      </c>
      <c r="CO600" s="2">
        <f t="shared" si="311"/>
        <v>0</v>
      </c>
      <c r="CP600" s="2">
        <f t="shared" si="311"/>
        <v>0</v>
      </c>
      <c r="CQ600" s="2">
        <f t="shared" si="311"/>
        <v>0</v>
      </c>
      <c r="CR600" s="2">
        <f t="shared" si="311"/>
        <v>0</v>
      </c>
      <c r="CS600" s="2">
        <f t="shared" si="311"/>
        <v>0</v>
      </c>
      <c r="CT600" s="2">
        <f t="shared" si="311"/>
        <v>0</v>
      </c>
      <c r="CU600" s="2">
        <f t="shared" si="311"/>
        <v>0</v>
      </c>
      <c r="CV600" s="2">
        <f t="shared" si="311"/>
        <v>0</v>
      </c>
      <c r="CW600" s="2">
        <f t="shared" si="311"/>
        <v>0</v>
      </c>
      <c r="CX600" s="2">
        <f t="shared" si="311"/>
        <v>0</v>
      </c>
      <c r="CY600" s="2">
        <f t="shared" si="311"/>
        <v>0</v>
      </c>
      <c r="CZ600" s="2">
        <f t="shared" si="311"/>
        <v>0</v>
      </c>
      <c r="DA600" s="2">
        <f t="shared" si="311"/>
        <v>0</v>
      </c>
      <c r="DB600" s="2">
        <f t="shared" si="311"/>
        <v>0</v>
      </c>
      <c r="DC600" s="2">
        <f t="shared" si="311"/>
        <v>0</v>
      </c>
      <c r="DD600" s="2">
        <f t="shared" si="311"/>
        <v>0</v>
      </c>
      <c r="DE600" s="2">
        <f t="shared" si="311"/>
        <v>0</v>
      </c>
      <c r="DF600" s="2">
        <f t="shared" si="311"/>
        <v>0</v>
      </c>
      <c r="DG600" s="3">
        <f t="shared" ref="DG600:EL600" si="312">DG640</f>
        <v>0</v>
      </c>
      <c r="DH600" s="3">
        <f t="shared" si="312"/>
        <v>0</v>
      </c>
      <c r="DI600" s="3">
        <f t="shared" si="312"/>
        <v>0</v>
      </c>
      <c r="DJ600" s="3">
        <f t="shared" si="312"/>
        <v>0</v>
      </c>
      <c r="DK600" s="3">
        <f t="shared" si="312"/>
        <v>0</v>
      </c>
      <c r="DL600" s="3">
        <f t="shared" si="312"/>
        <v>0</v>
      </c>
      <c r="DM600" s="3">
        <f t="shared" si="312"/>
        <v>0</v>
      </c>
      <c r="DN600" s="3">
        <f t="shared" si="312"/>
        <v>0</v>
      </c>
      <c r="DO600" s="3">
        <f t="shared" si="312"/>
        <v>0</v>
      </c>
      <c r="DP600" s="3">
        <f t="shared" si="312"/>
        <v>0</v>
      </c>
      <c r="DQ600" s="3">
        <f t="shared" si="312"/>
        <v>0</v>
      </c>
      <c r="DR600" s="3">
        <f t="shared" si="312"/>
        <v>0</v>
      </c>
      <c r="DS600" s="3">
        <f t="shared" si="312"/>
        <v>0</v>
      </c>
      <c r="DT600" s="3">
        <f t="shared" si="312"/>
        <v>0</v>
      </c>
      <c r="DU600" s="3">
        <f t="shared" si="312"/>
        <v>0</v>
      </c>
      <c r="DV600" s="3">
        <f t="shared" si="312"/>
        <v>0</v>
      </c>
      <c r="DW600" s="3">
        <f t="shared" si="312"/>
        <v>0</v>
      </c>
      <c r="DX600" s="3">
        <f t="shared" si="312"/>
        <v>0</v>
      </c>
      <c r="DY600" s="3">
        <f t="shared" si="312"/>
        <v>0</v>
      </c>
      <c r="DZ600" s="3">
        <f t="shared" si="312"/>
        <v>0</v>
      </c>
      <c r="EA600" s="3">
        <f t="shared" si="312"/>
        <v>0</v>
      </c>
      <c r="EB600" s="3">
        <f t="shared" si="312"/>
        <v>0</v>
      </c>
      <c r="EC600" s="3">
        <f t="shared" si="312"/>
        <v>0</v>
      </c>
      <c r="ED600" s="3">
        <f t="shared" si="312"/>
        <v>0</v>
      </c>
      <c r="EE600" s="3">
        <f t="shared" si="312"/>
        <v>0</v>
      </c>
      <c r="EF600" s="3">
        <f t="shared" si="312"/>
        <v>0</v>
      </c>
      <c r="EG600" s="3">
        <f t="shared" si="312"/>
        <v>0</v>
      </c>
      <c r="EH600" s="3">
        <f t="shared" si="312"/>
        <v>0</v>
      </c>
      <c r="EI600" s="3">
        <f t="shared" si="312"/>
        <v>0</v>
      </c>
      <c r="EJ600" s="3">
        <f t="shared" si="312"/>
        <v>0</v>
      </c>
      <c r="EK600" s="3">
        <f t="shared" si="312"/>
        <v>0</v>
      </c>
      <c r="EL600" s="3">
        <f t="shared" si="312"/>
        <v>0</v>
      </c>
      <c r="EM600" s="3">
        <f t="shared" ref="EM600:FR600" si="313">EM640</f>
        <v>0</v>
      </c>
      <c r="EN600" s="3">
        <f t="shared" si="313"/>
        <v>0</v>
      </c>
      <c r="EO600" s="3">
        <f t="shared" si="313"/>
        <v>0</v>
      </c>
      <c r="EP600" s="3">
        <f t="shared" si="313"/>
        <v>0</v>
      </c>
      <c r="EQ600" s="3">
        <f t="shared" si="313"/>
        <v>0</v>
      </c>
      <c r="ER600" s="3">
        <f t="shared" si="313"/>
        <v>0</v>
      </c>
      <c r="ES600" s="3">
        <f t="shared" si="313"/>
        <v>0</v>
      </c>
      <c r="ET600" s="3">
        <f t="shared" si="313"/>
        <v>0</v>
      </c>
      <c r="EU600" s="3">
        <f t="shared" si="313"/>
        <v>0</v>
      </c>
      <c r="EV600" s="3">
        <f t="shared" si="313"/>
        <v>0</v>
      </c>
      <c r="EW600" s="3">
        <f t="shared" si="313"/>
        <v>0</v>
      </c>
      <c r="EX600" s="3">
        <f t="shared" si="313"/>
        <v>0</v>
      </c>
      <c r="EY600" s="3">
        <f t="shared" si="313"/>
        <v>0</v>
      </c>
      <c r="EZ600" s="3">
        <f t="shared" si="313"/>
        <v>0</v>
      </c>
      <c r="FA600" s="3">
        <f t="shared" si="313"/>
        <v>0</v>
      </c>
      <c r="FB600" s="3">
        <f t="shared" si="313"/>
        <v>0</v>
      </c>
      <c r="FC600" s="3">
        <f t="shared" si="313"/>
        <v>0</v>
      </c>
      <c r="FD600" s="3">
        <f t="shared" si="313"/>
        <v>0</v>
      </c>
      <c r="FE600" s="3">
        <f t="shared" si="313"/>
        <v>0</v>
      </c>
      <c r="FF600" s="3">
        <f t="shared" si="313"/>
        <v>0</v>
      </c>
      <c r="FG600" s="3">
        <f t="shared" si="313"/>
        <v>0</v>
      </c>
      <c r="FH600" s="3">
        <f t="shared" si="313"/>
        <v>0</v>
      </c>
      <c r="FI600" s="3">
        <f t="shared" si="313"/>
        <v>0</v>
      </c>
      <c r="FJ600" s="3">
        <f t="shared" si="313"/>
        <v>0</v>
      </c>
      <c r="FK600" s="3">
        <f t="shared" si="313"/>
        <v>0</v>
      </c>
      <c r="FL600" s="3">
        <f t="shared" si="313"/>
        <v>0</v>
      </c>
      <c r="FM600" s="3">
        <f t="shared" si="313"/>
        <v>0</v>
      </c>
      <c r="FN600" s="3">
        <f t="shared" si="313"/>
        <v>0</v>
      </c>
      <c r="FO600" s="3">
        <f t="shared" si="313"/>
        <v>0</v>
      </c>
      <c r="FP600" s="3">
        <f t="shared" si="313"/>
        <v>0</v>
      </c>
      <c r="FQ600" s="3">
        <f t="shared" si="313"/>
        <v>0</v>
      </c>
      <c r="FR600" s="3">
        <f t="shared" si="313"/>
        <v>0</v>
      </c>
      <c r="FS600" s="3">
        <f t="shared" ref="FS600:GX600" si="314">FS640</f>
        <v>0</v>
      </c>
      <c r="FT600" s="3">
        <f t="shared" si="314"/>
        <v>0</v>
      </c>
      <c r="FU600" s="3">
        <f t="shared" si="314"/>
        <v>0</v>
      </c>
      <c r="FV600" s="3">
        <f t="shared" si="314"/>
        <v>0</v>
      </c>
      <c r="FW600" s="3">
        <f t="shared" si="314"/>
        <v>0</v>
      </c>
      <c r="FX600" s="3">
        <f t="shared" si="314"/>
        <v>0</v>
      </c>
      <c r="FY600" s="3">
        <f t="shared" si="314"/>
        <v>0</v>
      </c>
      <c r="FZ600" s="3">
        <f t="shared" si="314"/>
        <v>0</v>
      </c>
      <c r="GA600" s="3">
        <f t="shared" si="314"/>
        <v>0</v>
      </c>
      <c r="GB600" s="3">
        <f t="shared" si="314"/>
        <v>0</v>
      </c>
      <c r="GC600" s="3">
        <f t="shared" si="314"/>
        <v>0</v>
      </c>
      <c r="GD600" s="3">
        <f t="shared" si="314"/>
        <v>0</v>
      </c>
      <c r="GE600" s="3">
        <f t="shared" si="314"/>
        <v>0</v>
      </c>
      <c r="GF600" s="3">
        <f t="shared" si="314"/>
        <v>0</v>
      </c>
      <c r="GG600" s="3">
        <f t="shared" si="314"/>
        <v>0</v>
      </c>
      <c r="GH600" s="3">
        <f t="shared" si="314"/>
        <v>0</v>
      </c>
      <c r="GI600" s="3">
        <f t="shared" si="314"/>
        <v>0</v>
      </c>
      <c r="GJ600" s="3">
        <f t="shared" si="314"/>
        <v>0</v>
      </c>
      <c r="GK600" s="3">
        <f t="shared" si="314"/>
        <v>0</v>
      </c>
      <c r="GL600" s="3">
        <f t="shared" si="314"/>
        <v>0</v>
      </c>
      <c r="GM600" s="3">
        <f t="shared" si="314"/>
        <v>0</v>
      </c>
      <c r="GN600" s="3">
        <f t="shared" si="314"/>
        <v>0</v>
      </c>
      <c r="GO600" s="3">
        <f t="shared" si="314"/>
        <v>0</v>
      </c>
      <c r="GP600" s="3">
        <f t="shared" si="314"/>
        <v>0</v>
      </c>
      <c r="GQ600" s="3">
        <f t="shared" si="314"/>
        <v>0</v>
      </c>
      <c r="GR600" s="3">
        <f t="shared" si="314"/>
        <v>0</v>
      </c>
      <c r="GS600" s="3">
        <f t="shared" si="314"/>
        <v>0</v>
      </c>
      <c r="GT600" s="3">
        <f t="shared" si="314"/>
        <v>0</v>
      </c>
      <c r="GU600" s="3">
        <f t="shared" si="314"/>
        <v>0</v>
      </c>
      <c r="GV600" s="3">
        <f t="shared" si="314"/>
        <v>0</v>
      </c>
      <c r="GW600" s="3">
        <f t="shared" si="314"/>
        <v>0</v>
      </c>
      <c r="GX600" s="3">
        <f t="shared" si="314"/>
        <v>0</v>
      </c>
    </row>
    <row r="602" spans="1:245" x14ac:dyDescent="0.2">
      <c r="A602" s="1">
        <v>5</v>
      </c>
      <c r="B602" s="1">
        <v>1</v>
      </c>
      <c r="C602" s="1"/>
      <c r="D602" s="1">
        <f>ROW(A610)</f>
        <v>610</v>
      </c>
      <c r="E602" s="1"/>
      <c r="F602" s="1" t="s">
        <v>14</v>
      </c>
      <c r="G602" s="1" t="s">
        <v>104</v>
      </c>
      <c r="H602" s="1" t="s">
        <v>3</v>
      </c>
      <c r="I602" s="1">
        <v>0</v>
      </c>
      <c r="J602" s="1"/>
      <c r="K602" s="1">
        <v>0</v>
      </c>
      <c r="L602" s="1"/>
      <c r="M602" s="1"/>
      <c r="N602" s="1"/>
      <c r="O602" s="1"/>
      <c r="P602" s="1"/>
      <c r="Q602" s="1"/>
      <c r="R602" s="1"/>
      <c r="S602" s="1"/>
      <c r="T602" s="1"/>
      <c r="U602" s="1" t="s">
        <v>3</v>
      </c>
      <c r="V602" s="1">
        <v>0</v>
      </c>
      <c r="W602" s="1"/>
      <c r="X602" s="1"/>
      <c r="Y602" s="1"/>
      <c r="Z602" s="1"/>
      <c r="AA602" s="1"/>
      <c r="AB602" s="1" t="s">
        <v>3</v>
      </c>
      <c r="AC602" s="1" t="s">
        <v>3</v>
      </c>
      <c r="AD602" s="1" t="s">
        <v>3</v>
      </c>
      <c r="AE602" s="1" t="s">
        <v>3</v>
      </c>
      <c r="AF602" s="1" t="s">
        <v>3</v>
      </c>
      <c r="AG602" s="1" t="s">
        <v>3</v>
      </c>
      <c r="AH602" s="1"/>
      <c r="AI602" s="1"/>
      <c r="AJ602" s="1"/>
      <c r="AK602" s="1"/>
      <c r="AL602" s="1"/>
      <c r="AM602" s="1"/>
      <c r="AN602" s="1"/>
      <c r="AO602" s="1"/>
      <c r="AP602" s="1" t="s">
        <v>3</v>
      </c>
      <c r="AQ602" s="1" t="s">
        <v>3</v>
      </c>
      <c r="AR602" s="1" t="s">
        <v>3</v>
      </c>
      <c r="AS602" s="1"/>
      <c r="AT602" s="1"/>
      <c r="AU602" s="1"/>
      <c r="AV602" s="1"/>
      <c r="AW602" s="1"/>
      <c r="AX602" s="1"/>
      <c r="AY602" s="1"/>
      <c r="AZ602" s="1" t="s">
        <v>3</v>
      </c>
      <c r="BA602" s="1"/>
      <c r="BB602" s="1" t="s">
        <v>3</v>
      </c>
      <c r="BC602" s="1" t="s">
        <v>3</v>
      </c>
      <c r="BD602" s="1" t="s">
        <v>3</v>
      </c>
      <c r="BE602" s="1" t="s">
        <v>3</v>
      </c>
      <c r="BF602" s="1" t="s">
        <v>3</v>
      </c>
      <c r="BG602" s="1" t="s">
        <v>3</v>
      </c>
      <c r="BH602" s="1" t="s">
        <v>3</v>
      </c>
      <c r="BI602" s="1" t="s">
        <v>3</v>
      </c>
      <c r="BJ602" s="1" t="s">
        <v>3</v>
      </c>
      <c r="BK602" s="1" t="s">
        <v>3</v>
      </c>
      <c r="BL602" s="1" t="s">
        <v>3</v>
      </c>
      <c r="BM602" s="1" t="s">
        <v>3</v>
      </c>
      <c r="BN602" s="1" t="s">
        <v>3</v>
      </c>
      <c r="BO602" s="1" t="s">
        <v>3</v>
      </c>
      <c r="BP602" s="1" t="s">
        <v>3</v>
      </c>
      <c r="BQ602" s="1"/>
      <c r="BR602" s="1"/>
      <c r="BS602" s="1"/>
      <c r="BT602" s="1"/>
      <c r="BU602" s="1"/>
      <c r="BV602" s="1"/>
      <c r="BW602" s="1"/>
      <c r="BX602" s="1">
        <v>0</v>
      </c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>
        <v>0</v>
      </c>
    </row>
    <row r="604" spans="1:245" x14ac:dyDescent="0.2">
      <c r="A604" s="2">
        <v>52</v>
      </c>
      <c r="B604" s="2">
        <f t="shared" ref="B604:G604" si="315">B610</f>
        <v>1</v>
      </c>
      <c r="C604" s="2">
        <f t="shared" si="315"/>
        <v>5</v>
      </c>
      <c r="D604" s="2">
        <f t="shared" si="315"/>
        <v>602</v>
      </c>
      <c r="E604" s="2">
        <f t="shared" si="315"/>
        <v>0</v>
      </c>
      <c r="F604" s="2" t="str">
        <f t="shared" si="315"/>
        <v>Новый подраздел</v>
      </c>
      <c r="G604" s="2" t="str">
        <f t="shared" si="315"/>
        <v>Строительные работы</v>
      </c>
      <c r="H604" s="2"/>
      <c r="I604" s="2"/>
      <c r="J604" s="2"/>
      <c r="K604" s="2"/>
      <c r="L604" s="2"/>
      <c r="M604" s="2"/>
      <c r="N604" s="2"/>
      <c r="O604" s="2">
        <f t="shared" ref="O604:AT604" si="316">O610</f>
        <v>500806.84</v>
      </c>
      <c r="P604" s="2">
        <f t="shared" si="316"/>
        <v>358241.42</v>
      </c>
      <c r="Q604" s="2">
        <f t="shared" si="316"/>
        <v>68496.789999999994</v>
      </c>
      <c r="R604" s="2">
        <f t="shared" si="316"/>
        <v>39371.230000000003</v>
      </c>
      <c r="S604" s="2">
        <f t="shared" si="316"/>
        <v>74068.63</v>
      </c>
      <c r="T604" s="2">
        <f t="shared" si="316"/>
        <v>0</v>
      </c>
      <c r="U604" s="2">
        <f t="shared" si="316"/>
        <v>363.24187499999999</v>
      </c>
      <c r="V604" s="2">
        <f t="shared" si="316"/>
        <v>0</v>
      </c>
      <c r="W604" s="2">
        <f t="shared" si="316"/>
        <v>0</v>
      </c>
      <c r="X604" s="2">
        <f t="shared" si="316"/>
        <v>51848.04</v>
      </c>
      <c r="Y604" s="2">
        <f t="shared" si="316"/>
        <v>7406.87</v>
      </c>
      <c r="Z604" s="2">
        <f t="shared" si="316"/>
        <v>0</v>
      </c>
      <c r="AA604" s="2">
        <f t="shared" si="316"/>
        <v>0</v>
      </c>
      <c r="AB604" s="2">
        <f t="shared" si="316"/>
        <v>500806.84</v>
      </c>
      <c r="AC604" s="2">
        <f t="shared" si="316"/>
        <v>358241.42</v>
      </c>
      <c r="AD604" s="2">
        <f t="shared" si="316"/>
        <v>68496.789999999994</v>
      </c>
      <c r="AE604" s="2">
        <f t="shared" si="316"/>
        <v>39371.230000000003</v>
      </c>
      <c r="AF604" s="2">
        <f t="shared" si="316"/>
        <v>74068.63</v>
      </c>
      <c r="AG604" s="2">
        <f t="shared" si="316"/>
        <v>0</v>
      </c>
      <c r="AH604" s="2">
        <f t="shared" si="316"/>
        <v>363.24187499999999</v>
      </c>
      <c r="AI604" s="2">
        <f t="shared" si="316"/>
        <v>0</v>
      </c>
      <c r="AJ604" s="2">
        <f t="shared" si="316"/>
        <v>0</v>
      </c>
      <c r="AK604" s="2">
        <f t="shared" si="316"/>
        <v>51848.04</v>
      </c>
      <c r="AL604" s="2">
        <f t="shared" si="316"/>
        <v>7406.87</v>
      </c>
      <c r="AM604" s="2">
        <f t="shared" si="316"/>
        <v>0</v>
      </c>
      <c r="AN604" s="2">
        <f t="shared" si="316"/>
        <v>0</v>
      </c>
      <c r="AO604" s="2">
        <f t="shared" si="316"/>
        <v>0</v>
      </c>
      <c r="AP604" s="2">
        <f t="shared" si="316"/>
        <v>0</v>
      </c>
      <c r="AQ604" s="2">
        <f t="shared" si="316"/>
        <v>0</v>
      </c>
      <c r="AR604" s="2">
        <f t="shared" si="316"/>
        <v>602582.68000000005</v>
      </c>
      <c r="AS604" s="2">
        <f t="shared" si="316"/>
        <v>0</v>
      </c>
      <c r="AT604" s="2">
        <f t="shared" si="316"/>
        <v>0</v>
      </c>
      <c r="AU604" s="2">
        <f t="shared" ref="AU604:BZ604" si="317">AU610</f>
        <v>602582.68000000005</v>
      </c>
      <c r="AV604" s="2">
        <f t="shared" si="317"/>
        <v>358241.42</v>
      </c>
      <c r="AW604" s="2">
        <f t="shared" si="317"/>
        <v>358241.42</v>
      </c>
      <c r="AX604" s="2">
        <f t="shared" si="317"/>
        <v>0</v>
      </c>
      <c r="AY604" s="2">
        <f t="shared" si="317"/>
        <v>358241.42</v>
      </c>
      <c r="AZ604" s="2">
        <f t="shared" si="317"/>
        <v>0</v>
      </c>
      <c r="BA604" s="2">
        <f t="shared" si="317"/>
        <v>0</v>
      </c>
      <c r="BB604" s="2">
        <f t="shared" si="317"/>
        <v>0</v>
      </c>
      <c r="BC604" s="2">
        <f t="shared" si="317"/>
        <v>0</v>
      </c>
      <c r="BD604" s="2">
        <f t="shared" si="317"/>
        <v>0</v>
      </c>
      <c r="BE604" s="2">
        <f t="shared" si="317"/>
        <v>0</v>
      </c>
      <c r="BF604" s="2">
        <f t="shared" si="317"/>
        <v>0</v>
      </c>
      <c r="BG604" s="2">
        <f t="shared" si="317"/>
        <v>0</v>
      </c>
      <c r="BH604" s="2">
        <f t="shared" si="317"/>
        <v>0</v>
      </c>
      <c r="BI604" s="2">
        <f t="shared" si="317"/>
        <v>0</v>
      </c>
      <c r="BJ604" s="2">
        <f t="shared" si="317"/>
        <v>0</v>
      </c>
      <c r="BK604" s="2">
        <f t="shared" si="317"/>
        <v>0</v>
      </c>
      <c r="BL604" s="2">
        <f t="shared" si="317"/>
        <v>0</v>
      </c>
      <c r="BM604" s="2">
        <f t="shared" si="317"/>
        <v>0</v>
      </c>
      <c r="BN604" s="2">
        <f t="shared" si="317"/>
        <v>0</v>
      </c>
      <c r="BO604" s="2">
        <f t="shared" si="317"/>
        <v>0</v>
      </c>
      <c r="BP604" s="2">
        <f t="shared" si="317"/>
        <v>0</v>
      </c>
      <c r="BQ604" s="2">
        <f t="shared" si="317"/>
        <v>0</v>
      </c>
      <c r="BR604" s="2">
        <f t="shared" si="317"/>
        <v>0</v>
      </c>
      <c r="BS604" s="2">
        <f t="shared" si="317"/>
        <v>0</v>
      </c>
      <c r="BT604" s="2">
        <f t="shared" si="317"/>
        <v>0</v>
      </c>
      <c r="BU604" s="2">
        <f t="shared" si="317"/>
        <v>0</v>
      </c>
      <c r="BV604" s="2">
        <f t="shared" si="317"/>
        <v>0</v>
      </c>
      <c r="BW604" s="2">
        <f t="shared" si="317"/>
        <v>0</v>
      </c>
      <c r="BX604" s="2">
        <f t="shared" si="317"/>
        <v>0</v>
      </c>
      <c r="BY604" s="2">
        <f t="shared" si="317"/>
        <v>0</v>
      </c>
      <c r="BZ604" s="2">
        <f t="shared" si="317"/>
        <v>0</v>
      </c>
      <c r="CA604" s="2">
        <f t="shared" ref="CA604:DF604" si="318">CA610</f>
        <v>602582.68000000005</v>
      </c>
      <c r="CB604" s="2">
        <f t="shared" si="318"/>
        <v>0</v>
      </c>
      <c r="CC604" s="2">
        <f t="shared" si="318"/>
        <v>0</v>
      </c>
      <c r="CD604" s="2">
        <f t="shared" si="318"/>
        <v>602582.68000000005</v>
      </c>
      <c r="CE604" s="2">
        <f t="shared" si="318"/>
        <v>358241.42</v>
      </c>
      <c r="CF604" s="2">
        <f t="shared" si="318"/>
        <v>358241.42</v>
      </c>
      <c r="CG604" s="2">
        <f t="shared" si="318"/>
        <v>0</v>
      </c>
      <c r="CH604" s="2">
        <f t="shared" si="318"/>
        <v>358241.42</v>
      </c>
      <c r="CI604" s="2">
        <f t="shared" si="318"/>
        <v>0</v>
      </c>
      <c r="CJ604" s="2">
        <f t="shared" si="318"/>
        <v>0</v>
      </c>
      <c r="CK604" s="2">
        <f t="shared" si="318"/>
        <v>0</v>
      </c>
      <c r="CL604" s="2">
        <f t="shared" si="318"/>
        <v>0</v>
      </c>
      <c r="CM604" s="2">
        <f t="shared" si="318"/>
        <v>0</v>
      </c>
      <c r="CN604" s="2">
        <f t="shared" si="318"/>
        <v>0</v>
      </c>
      <c r="CO604" s="2">
        <f t="shared" si="318"/>
        <v>0</v>
      </c>
      <c r="CP604" s="2">
        <f t="shared" si="318"/>
        <v>0</v>
      </c>
      <c r="CQ604" s="2">
        <f t="shared" si="318"/>
        <v>0</v>
      </c>
      <c r="CR604" s="2">
        <f t="shared" si="318"/>
        <v>0</v>
      </c>
      <c r="CS604" s="2">
        <f t="shared" si="318"/>
        <v>0</v>
      </c>
      <c r="CT604" s="2">
        <f t="shared" si="318"/>
        <v>0</v>
      </c>
      <c r="CU604" s="2">
        <f t="shared" si="318"/>
        <v>0</v>
      </c>
      <c r="CV604" s="2">
        <f t="shared" si="318"/>
        <v>0</v>
      </c>
      <c r="CW604" s="2">
        <f t="shared" si="318"/>
        <v>0</v>
      </c>
      <c r="CX604" s="2">
        <f t="shared" si="318"/>
        <v>0</v>
      </c>
      <c r="CY604" s="2">
        <f t="shared" si="318"/>
        <v>0</v>
      </c>
      <c r="CZ604" s="2">
        <f t="shared" si="318"/>
        <v>0</v>
      </c>
      <c r="DA604" s="2">
        <f t="shared" si="318"/>
        <v>0</v>
      </c>
      <c r="DB604" s="2">
        <f t="shared" si="318"/>
        <v>0</v>
      </c>
      <c r="DC604" s="2">
        <f t="shared" si="318"/>
        <v>0</v>
      </c>
      <c r="DD604" s="2">
        <f t="shared" si="318"/>
        <v>0</v>
      </c>
      <c r="DE604" s="2">
        <f t="shared" si="318"/>
        <v>0</v>
      </c>
      <c r="DF604" s="2">
        <f t="shared" si="318"/>
        <v>0</v>
      </c>
      <c r="DG604" s="3">
        <f t="shared" ref="DG604:EL604" si="319">DG610</f>
        <v>0</v>
      </c>
      <c r="DH604" s="3">
        <f t="shared" si="319"/>
        <v>0</v>
      </c>
      <c r="DI604" s="3">
        <f t="shared" si="319"/>
        <v>0</v>
      </c>
      <c r="DJ604" s="3">
        <f t="shared" si="319"/>
        <v>0</v>
      </c>
      <c r="DK604" s="3">
        <f t="shared" si="319"/>
        <v>0</v>
      </c>
      <c r="DL604" s="3">
        <f t="shared" si="319"/>
        <v>0</v>
      </c>
      <c r="DM604" s="3">
        <f t="shared" si="319"/>
        <v>0</v>
      </c>
      <c r="DN604" s="3">
        <f t="shared" si="319"/>
        <v>0</v>
      </c>
      <c r="DO604" s="3">
        <f t="shared" si="319"/>
        <v>0</v>
      </c>
      <c r="DP604" s="3">
        <f t="shared" si="319"/>
        <v>0</v>
      </c>
      <c r="DQ604" s="3">
        <f t="shared" si="319"/>
        <v>0</v>
      </c>
      <c r="DR604" s="3">
        <f t="shared" si="319"/>
        <v>0</v>
      </c>
      <c r="DS604" s="3">
        <f t="shared" si="319"/>
        <v>0</v>
      </c>
      <c r="DT604" s="3">
        <f t="shared" si="319"/>
        <v>0</v>
      </c>
      <c r="DU604" s="3">
        <f t="shared" si="319"/>
        <v>0</v>
      </c>
      <c r="DV604" s="3">
        <f t="shared" si="319"/>
        <v>0</v>
      </c>
      <c r="DW604" s="3">
        <f t="shared" si="319"/>
        <v>0</v>
      </c>
      <c r="DX604" s="3">
        <f t="shared" si="319"/>
        <v>0</v>
      </c>
      <c r="DY604" s="3">
        <f t="shared" si="319"/>
        <v>0</v>
      </c>
      <c r="DZ604" s="3">
        <f t="shared" si="319"/>
        <v>0</v>
      </c>
      <c r="EA604" s="3">
        <f t="shared" si="319"/>
        <v>0</v>
      </c>
      <c r="EB604" s="3">
        <f t="shared" si="319"/>
        <v>0</v>
      </c>
      <c r="EC604" s="3">
        <f t="shared" si="319"/>
        <v>0</v>
      </c>
      <c r="ED604" s="3">
        <f t="shared" si="319"/>
        <v>0</v>
      </c>
      <c r="EE604" s="3">
        <f t="shared" si="319"/>
        <v>0</v>
      </c>
      <c r="EF604" s="3">
        <f t="shared" si="319"/>
        <v>0</v>
      </c>
      <c r="EG604" s="3">
        <f t="shared" si="319"/>
        <v>0</v>
      </c>
      <c r="EH604" s="3">
        <f t="shared" si="319"/>
        <v>0</v>
      </c>
      <c r="EI604" s="3">
        <f t="shared" si="319"/>
        <v>0</v>
      </c>
      <c r="EJ604" s="3">
        <f t="shared" si="319"/>
        <v>0</v>
      </c>
      <c r="EK604" s="3">
        <f t="shared" si="319"/>
        <v>0</v>
      </c>
      <c r="EL604" s="3">
        <f t="shared" si="319"/>
        <v>0</v>
      </c>
      <c r="EM604" s="3">
        <f t="shared" ref="EM604:FR604" si="320">EM610</f>
        <v>0</v>
      </c>
      <c r="EN604" s="3">
        <f t="shared" si="320"/>
        <v>0</v>
      </c>
      <c r="EO604" s="3">
        <f t="shared" si="320"/>
        <v>0</v>
      </c>
      <c r="EP604" s="3">
        <f t="shared" si="320"/>
        <v>0</v>
      </c>
      <c r="EQ604" s="3">
        <f t="shared" si="320"/>
        <v>0</v>
      </c>
      <c r="ER604" s="3">
        <f t="shared" si="320"/>
        <v>0</v>
      </c>
      <c r="ES604" s="3">
        <f t="shared" si="320"/>
        <v>0</v>
      </c>
      <c r="ET604" s="3">
        <f t="shared" si="320"/>
        <v>0</v>
      </c>
      <c r="EU604" s="3">
        <f t="shared" si="320"/>
        <v>0</v>
      </c>
      <c r="EV604" s="3">
        <f t="shared" si="320"/>
        <v>0</v>
      </c>
      <c r="EW604" s="3">
        <f t="shared" si="320"/>
        <v>0</v>
      </c>
      <c r="EX604" s="3">
        <f t="shared" si="320"/>
        <v>0</v>
      </c>
      <c r="EY604" s="3">
        <f t="shared" si="320"/>
        <v>0</v>
      </c>
      <c r="EZ604" s="3">
        <f t="shared" si="320"/>
        <v>0</v>
      </c>
      <c r="FA604" s="3">
        <f t="shared" si="320"/>
        <v>0</v>
      </c>
      <c r="FB604" s="3">
        <f t="shared" si="320"/>
        <v>0</v>
      </c>
      <c r="FC604" s="3">
        <f t="shared" si="320"/>
        <v>0</v>
      </c>
      <c r="FD604" s="3">
        <f t="shared" si="320"/>
        <v>0</v>
      </c>
      <c r="FE604" s="3">
        <f t="shared" si="320"/>
        <v>0</v>
      </c>
      <c r="FF604" s="3">
        <f t="shared" si="320"/>
        <v>0</v>
      </c>
      <c r="FG604" s="3">
        <f t="shared" si="320"/>
        <v>0</v>
      </c>
      <c r="FH604" s="3">
        <f t="shared" si="320"/>
        <v>0</v>
      </c>
      <c r="FI604" s="3">
        <f t="shared" si="320"/>
        <v>0</v>
      </c>
      <c r="FJ604" s="3">
        <f t="shared" si="320"/>
        <v>0</v>
      </c>
      <c r="FK604" s="3">
        <f t="shared" si="320"/>
        <v>0</v>
      </c>
      <c r="FL604" s="3">
        <f t="shared" si="320"/>
        <v>0</v>
      </c>
      <c r="FM604" s="3">
        <f t="shared" si="320"/>
        <v>0</v>
      </c>
      <c r="FN604" s="3">
        <f t="shared" si="320"/>
        <v>0</v>
      </c>
      <c r="FO604" s="3">
        <f t="shared" si="320"/>
        <v>0</v>
      </c>
      <c r="FP604" s="3">
        <f t="shared" si="320"/>
        <v>0</v>
      </c>
      <c r="FQ604" s="3">
        <f t="shared" si="320"/>
        <v>0</v>
      </c>
      <c r="FR604" s="3">
        <f t="shared" si="320"/>
        <v>0</v>
      </c>
      <c r="FS604" s="3">
        <f t="shared" ref="FS604:GX604" si="321">FS610</f>
        <v>0</v>
      </c>
      <c r="FT604" s="3">
        <f t="shared" si="321"/>
        <v>0</v>
      </c>
      <c r="FU604" s="3">
        <f t="shared" si="321"/>
        <v>0</v>
      </c>
      <c r="FV604" s="3">
        <f t="shared" si="321"/>
        <v>0</v>
      </c>
      <c r="FW604" s="3">
        <f t="shared" si="321"/>
        <v>0</v>
      </c>
      <c r="FX604" s="3">
        <f t="shared" si="321"/>
        <v>0</v>
      </c>
      <c r="FY604" s="3">
        <f t="shared" si="321"/>
        <v>0</v>
      </c>
      <c r="FZ604" s="3">
        <f t="shared" si="321"/>
        <v>0</v>
      </c>
      <c r="GA604" s="3">
        <f t="shared" si="321"/>
        <v>0</v>
      </c>
      <c r="GB604" s="3">
        <f t="shared" si="321"/>
        <v>0</v>
      </c>
      <c r="GC604" s="3">
        <f t="shared" si="321"/>
        <v>0</v>
      </c>
      <c r="GD604" s="3">
        <f t="shared" si="321"/>
        <v>0</v>
      </c>
      <c r="GE604" s="3">
        <f t="shared" si="321"/>
        <v>0</v>
      </c>
      <c r="GF604" s="3">
        <f t="shared" si="321"/>
        <v>0</v>
      </c>
      <c r="GG604" s="3">
        <f t="shared" si="321"/>
        <v>0</v>
      </c>
      <c r="GH604" s="3">
        <f t="shared" si="321"/>
        <v>0</v>
      </c>
      <c r="GI604" s="3">
        <f t="shared" si="321"/>
        <v>0</v>
      </c>
      <c r="GJ604" s="3">
        <f t="shared" si="321"/>
        <v>0</v>
      </c>
      <c r="GK604" s="3">
        <f t="shared" si="321"/>
        <v>0</v>
      </c>
      <c r="GL604" s="3">
        <f t="shared" si="321"/>
        <v>0</v>
      </c>
      <c r="GM604" s="3">
        <f t="shared" si="321"/>
        <v>0</v>
      </c>
      <c r="GN604" s="3">
        <f t="shared" si="321"/>
        <v>0</v>
      </c>
      <c r="GO604" s="3">
        <f t="shared" si="321"/>
        <v>0</v>
      </c>
      <c r="GP604" s="3">
        <f t="shared" si="321"/>
        <v>0</v>
      </c>
      <c r="GQ604" s="3">
        <f t="shared" si="321"/>
        <v>0</v>
      </c>
      <c r="GR604" s="3">
        <f t="shared" si="321"/>
        <v>0</v>
      </c>
      <c r="GS604" s="3">
        <f t="shared" si="321"/>
        <v>0</v>
      </c>
      <c r="GT604" s="3">
        <f t="shared" si="321"/>
        <v>0</v>
      </c>
      <c r="GU604" s="3">
        <f t="shared" si="321"/>
        <v>0</v>
      </c>
      <c r="GV604" s="3">
        <f t="shared" si="321"/>
        <v>0</v>
      </c>
      <c r="GW604" s="3">
        <f t="shared" si="321"/>
        <v>0</v>
      </c>
      <c r="GX604" s="3">
        <f t="shared" si="321"/>
        <v>0</v>
      </c>
    </row>
    <row r="606" spans="1:245" x14ac:dyDescent="0.2">
      <c r="A606">
        <v>17</v>
      </c>
      <c r="B606">
        <v>1</v>
      </c>
      <c r="C606">
        <f>ROW(SmtRes!A325)</f>
        <v>325</v>
      </c>
      <c r="D606">
        <f>ROW(EtalonRes!A294)</f>
        <v>294</v>
      </c>
      <c r="E606" t="s">
        <v>335</v>
      </c>
      <c r="F606" t="s">
        <v>336</v>
      </c>
      <c r="G606" t="s">
        <v>337</v>
      </c>
      <c r="H606" t="s">
        <v>121</v>
      </c>
      <c r="I606">
        <v>235</v>
      </c>
      <c r="J606">
        <v>0</v>
      </c>
      <c r="O606">
        <f>ROUND(CP606,2)</f>
        <v>210080.6</v>
      </c>
      <c r="P606">
        <f>ROUND(CQ606*I606,2)</f>
        <v>131961.9</v>
      </c>
      <c r="Q606">
        <f>ROUND(CR606*I606,2)</f>
        <v>44962.55</v>
      </c>
      <c r="R606">
        <f>ROUND(CS606*I606,2)</f>
        <v>25295.4</v>
      </c>
      <c r="S606">
        <f>ROUND(CT606*I606,2)</f>
        <v>33156.15</v>
      </c>
      <c r="T606">
        <f>ROUND(CU606*I606,2)</f>
        <v>0</v>
      </c>
      <c r="U606">
        <f>CV606*I606</f>
        <v>155.1</v>
      </c>
      <c r="V606">
        <f>CW606*I606</f>
        <v>0</v>
      </c>
      <c r="W606">
        <f>ROUND(CX606*I606,2)</f>
        <v>0</v>
      </c>
      <c r="X606">
        <f t="shared" ref="X606:Y608" si="322">ROUND(CY606,2)</f>
        <v>23209.31</v>
      </c>
      <c r="Y606">
        <f t="shared" si="322"/>
        <v>3315.62</v>
      </c>
      <c r="AA606">
        <v>38799519</v>
      </c>
      <c r="AB606">
        <f>ROUND((AC606+AD606+AF606),6)</f>
        <v>893.96</v>
      </c>
      <c r="AC606">
        <f>ROUND((ES606),6)</f>
        <v>561.54</v>
      </c>
      <c r="AD606">
        <f>ROUND((((ET606)-(EU606))+AE606),6)</f>
        <v>191.33</v>
      </c>
      <c r="AE606">
        <f t="shared" ref="AE606:AF608" si="323">ROUND((EU606),6)</f>
        <v>107.64</v>
      </c>
      <c r="AF606">
        <f t="shared" si="323"/>
        <v>141.09</v>
      </c>
      <c r="AG606">
        <f>ROUND((AP606),6)</f>
        <v>0</v>
      </c>
      <c r="AH606">
        <f t="shared" ref="AH606:AI608" si="324">(EW606)</f>
        <v>0.66</v>
      </c>
      <c r="AI606">
        <f t="shared" si="324"/>
        <v>0</v>
      </c>
      <c r="AJ606">
        <f>(AS606)</f>
        <v>0</v>
      </c>
      <c r="AK606">
        <v>893.96</v>
      </c>
      <c r="AL606">
        <v>561.54</v>
      </c>
      <c r="AM606">
        <v>191.33</v>
      </c>
      <c r="AN606">
        <v>107.64</v>
      </c>
      <c r="AO606">
        <v>141.09</v>
      </c>
      <c r="AP606">
        <v>0</v>
      </c>
      <c r="AQ606">
        <v>0.66</v>
      </c>
      <c r="AR606">
        <v>0</v>
      </c>
      <c r="AS606">
        <v>0</v>
      </c>
      <c r="AT606">
        <v>70</v>
      </c>
      <c r="AU606">
        <v>10</v>
      </c>
      <c r="AV606">
        <v>1</v>
      </c>
      <c r="AW606">
        <v>1</v>
      </c>
      <c r="AZ606">
        <v>1</v>
      </c>
      <c r="BA606">
        <v>1</v>
      </c>
      <c r="BB606">
        <v>1</v>
      </c>
      <c r="BC606">
        <v>1</v>
      </c>
      <c r="BD606" t="s">
        <v>3</v>
      </c>
      <c r="BE606" t="s">
        <v>3</v>
      </c>
      <c r="BF606" t="s">
        <v>3</v>
      </c>
      <c r="BG606" t="s">
        <v>3</v>
      </c>
      <c r="BH606">
        <v>0</v>
      </c>
      <c r="BI606">
        <v>4</v>
      </c>
      <c r="BJ606" t="s">
        <v>338</v>
      </c>
      <c r="BM606">
        <v>0</v>
      </c>
      <c r="BN606">
        <v>0</v>
      </c>
      <c r="BO606" t="s">
        <v>3</v>
      </c>
      <c r="BP606">
        <v>0</v>
      </c>
      <c r="BQ606">
        <v>1</v>
      </c>
      <c r="BR606">
        <v>0</v>
      </c>
      <c r="BS606">
        <v>1</v>
      </c>
      <c r="BT606">
        <v>1</v>
      </c>
      <c r="BU606">
        <v>1</v>
      </c>
      <c r="BV606">
        <v>1</v>
      </c>
      <c r="BW606">
        <v>1</v>
      </c>
      <c r="BX606">
        <v>1</v>
      </c>
      <c r="BY606" t="s">
        <v>3</v>
      </c>
      <c r="BZ606">
        <v>70</v>
      </c>
      <c r="CA606">
        <v>10</v>
      </c>
      <c r="CE606">
        <v>0</v>
      </c>
      <c r="CF606">
        <v>0</v>
      </c>
      <c r="CG606">
        <v>0</v>
      </c>
      <c r="CM606">
        <v>0</v>
      </c>
      <c r="CN606" t="s">
        <v>3</v>
      </c>
      <c r="CO606">
        <v>0</v>
      </c>
      <c r="CP606">
        <f>(P606+Q606+S606)</f>
        <v>210080.6</v>
      </c>
      <c r="CQ606">
        <f>(AC606*BC606*AW606)</f>
        <v>561.54</v>
      </c>
      <c r="CR606">
        <f>((((ET606)*BB606-(EU606)*BS606)+AE606*BS606)*AV606)</f>
        <v>191.33</v>
      </c>
      <c r="CS606">
        <f>(AE606*BS606*AV606)</f>
        <v>107.64</v>
      </c>
      <c r="CT606">
        <f>(AF606*BA606*AV606)</f>
        <v>141.09</v>
      </c>
      <c r="CU606">
        <f>AG606</f>
        <v>0</v>
      </c>
      <c r="CV606">
        <f>(AH606*AV606)</f>
        <v>0.66</v>
      </c>
      <c r="CW606">
        <f t="shared" ref="CW606:CX608" si="325">AI606</f>
        <v>0</v>
      </c>
      <c r="CX606">
        <f t="shared" si="325"/>
        <v>0</v>
      </c>
      <c r="CY606">
        <f>((S606*BZ606)/100)</f>
        <v>23209.305</v>
      </c>
      <c r="CZ606">
        <f>((S606*CA606)/100)</f>
        <v>3315.6149999999998</v>
      </c>
      <c r="DC606" t="s">
        <v>3</v>
      </c>
      <c r="DD606" t="s">
        <v>3</v>
      </c>
      <c r="DE606" t="s">
        <v>3</v>
      </c>
      <c r="DF606" t="s">
        <v>3</v>
      </c>
      <c r="DG606" t="s">
        <v>3</v>
      </c>
      <c r="DH606" t="s">
        <v>3</v>
      </c>
      <c r="DI606" t="s">
        <v>3</v>
      </c>
      <c r="DJ606" t="s">
        <v>3</v>
      </c>
      <c r="DK606" t="s">
        <v>3</v>
      </c>
      <c r="DL606" t="s">
        <v>3</v>
      </c>
      <c r="DM606" t="s">
        <v>3</v>
      </c>
      <c r="DN606">
        <v>0</v>
      </c>
      <c r="DO606">
        <v>0</v>
      </c>
      <c r="DP606">
        <v>1</v>
      </c>
      <c r="DQ606">
        <v>1</v>
      </c>
      <c r="DU606">
        <v>1003</v>
      </c>
      <c r="DV606" t="s">
        <v>121</v>
      </c>
      <c r="DW606" t="s">
        <v>121</v>
      </c>
      <c r="DX606">
        <v>1</v>
      </c>
      <c r="EE606">
        <v>38447819</v>
      </c>
      <c r="EF606">
        <v>1</v>
      </c>
      <c r="EG606" t="s">
        <v>23</v>
      </c>
      <c r="EH606">
        <v>0</v>
      </c>
      <c r="EI606" t="s">
        <v>3</v>
      </c>
      <c r="EJ606">
        <v>4</v>
      </c>
      <c r="EK606">
        <v>0</v>
      </c>
      <c r="EL606" t="s">
        <v>24</v>
      </c>
      <c r="EM606" t="s">
        <v>25</v>
      </c>
      <c r="EO606" t="s">
        <v>3</v>
      </c>
      <c r="EQ606">
        <v>0</v>
      </c>
      <c r="ER606">
        <v>893.96</v>
      </c>
      <c r="ES606">
        <v>561.54</v>
      </c>
      <c r="ET606">
        <v>191.33</v>
      </c>
      <c r="EU606">
        <v>107.64</v>
      </c>
      <c r="EV606">
        <v>141.09</v>
      </c>
      <c r="EW606">
        <v>0.66</v>
      </c>
      <c r="EX606">
        <v>0</v>
      </c>
      <c r="EY606">
        <v>0</v>
      </c>
      <c r="FQ606">
        <v>0</v>
      </c>
      <c r="FR606">
        <f>ROUND(IF(AND(BH606=3,BI606=3),P606,0),2)</f>
        <v>0</v>
      </c>
      <c r="FS606">
        <v>0</v>
      </c>
      <c r="FX606">
        <v>70</v>
      </c>
      <c r="FY606">
        <v>10</v>
      </c>
      <c r="GA606" t="s">
        <v>3</v>
      </c>
      <c r="GD606">
        <v>0</v>
      </c>
      <c r="GF606">
        <v>-1136486852</v>
      </c>
      <c r="GG606">
        <v>2</v>
      </c>
      <c r="GH606">
        <v>1</v>
      </c>
      <c r="GI606">
        <v>-2</v>
      </c>
      <c r="GJ606">
        <v>0</v>
      </c>
      <c r="GK606">
        <f>ROUND(R606*(R12)/100,2)</f>
        <v>27319.03</v>
      </c>
      <c r="GL606">
        <f>ROUND(IF(AND(BH606=3,BI606=3,FS606&lt;&gt;0),P606,0),2)</f>
        <v>0</v>
      </c>
      <c r="GM606">
        <f>ROUND(O606+X606+Y606+GK606,2)+GX606</f>
        <v>263924.56</v>
      </c>
      <c r="GN606">
        <f>IF(OR(BI606=0,BI606=1),ROUND(O606+X606+Y606+GK606,2),0)</f>
        <v>0</v>
      </c>
      <c r="GO606">
        <f>IF(BI606=2,ROUND(O606+X606+Y606+GK606,2),0)</f>
        <v>0</v>
      </c>
      <c r="GP606">
        <f>IF(BI606=4,ROUND(O606+X606+Y606+GK606,2)+GX606,0)</f>
        <v>263924.56</v>
      </c>
      <c r="GR606">
        <v>0</v>
      </c>
      <c r="GS606">
        <v>3</v>
      </c>
      <c r="GT606">
        <v>0</v>
      </c>
      <c r="GU606" t="s">
        <v>3</v>
      </c>
      <c r="GV606">
        <f>ROUND((GT606),6)</f>
        <v>0</v>
      </c>
      <c r="GW606">
        <v>1</v>
      </c>
      <c r="GX606">
        <f>ROUND(HC606*I606,2)</f>
        <v>0</v>
      </c>
      <c r="HA606">
        <v>0</v>
      </c>
      <c r="HB606">
        <v>0</v>
      </c>
      <c r="HC606">
        <f>GV606*GW606</f>
        <v>0</v>
      </c>
      <c r="HE606" t="s">
        <v>3</v>
      </c>
      <c r="HF606" t="s">
        <v>3</v>
      </c>
      <c r="IK606">
        <v>0</v>
      </c>
    </row>
    <row r="607" spans="1:245" x14ac:dyDescent="0.2">
      <c r="A607">
        <v>17</v>
      </c>
      <c r="B607">
        <v>1</v>
      </c>
      <c r="C607">
        <f>ROW(SmtRes!A332)</f>
        <v>332</v>
      </c>
      <c r="D607">
        <f>ROW(EtalonRes!A301)</f>
        <v>301</v>
      </c>
      <c r="E607" t="s">
        <v>339</v>
      </c>
      <c r="F607" t="s">
        <v>132</v>
      </c>
      <c r="G607" t="s">
        <v>133</v>
      </c>
      <c r="H607" t="s">
        <v>19</v>
      </c>
      <c r="I607">
        <f>ROUND(1110.09/100,9)</f>
        <v>11.100899999999999</v>
      </c>
      <c r="J607">
        <v>0</v>
      </c>
      <c r="O607">
        <f>ROUND(CP607,2)</f>
        <v>251757.19</v>
      </c>
      <c r="P607">
        <f>ROUND(CQ607*I607,2)</f>
        <v>193278.32</v>
      </c>
      <c r="Q607">
        <f>ROUND(CR607*I607,2)</f>
        <v>22365.98</v>
      </c>
      <c r="R607">
        <f>ROUND(CS607*I607,2)</f>
        <v>13410.22</v>
      </c>
      <c r="S607">
        <f>ROUND(CT607*I607,2)</f>
        <v>36112.89</v>
      </c>
      <c r="T607">
        <f>ROUND(CU607*I607,2)</f>
        <v>0</v>
      </c>
      <c r="U607">
        <f>CV607*I607</f>
        <v>182.498796</v>
      </c>
      <c r="V607">
        <f>CW607*I607</f>
        <v>0</v>
      </c>
      <c r="W607">
        <f>ROUND(CX607*I607,2)</f>
        <v>0</v>
      </c>
      <c r="X607">
        <f t="shared" si="322"/>
        <v>25279.02</v>
      </c>
      <c r="Y607">
        <f t="shared" si="322"/>
        <v>3611.29</v>
      </c>
      <c r="AA607">
        <v>38799519</v>
      </c>
      <c r="AB607">
        <f>ROUND((AC607+AD607+AF607),6)</f>
        <v>22678.99</v>
      </c>
      <c r="AC607">
        <f>ROUND((ES607),6)</f>
        <v>17411.05</v>
      </c>
      <c r="AD607">
        <f>ROUND((((ET607)-(EU607))+AE607),6)</f>
        <v>2014.79</v>
      </c>
      <c r="AE607">
        <f t="shared" si="323"/>
        <v>1208.03</v>
      </c>
      <c r="AF607">
        <f t="shared" si="323"/>
        <v>3253.15</v>
      </c>
      <c r="AG607">
        <f>ROUND((AP607),6)</f>
        <v>0</v>
      </c>
      <c r="AH607">
        <f t="shared" si="324"/>
        <v>16.440000000000001</v>
      </c>
      <c r="AI607">
        <f t="shared" si="324"/>
        <v>0</v>
      </c>
      <c r="AJ607">
        <f>(AS607)</f>
        <v>0</v>
      </c>
      <c r="AK607">
        <v>22678.99</v>
      </c>
      <c r="AL607">
        <v>17411.05</v>
      </c>
      <c r="AM607">
        <v>2014.79</v>
      </c>
      <c r="AN607">
        <v>1208.03</v>
      </c>
      <c r="AO607">
        <v>3253.15</v>
      </c>
      <c r="AP607">
        <v>0</v>
      </c>
      <c r="AQ607">
        <v>16.440000000000001</v>
      </c>
      <c r="AR607">
        <v>0</v>
      </c>
      <c r="AS607">
        <v>0</v>
      </c>
      <c r="AT607">
        <v>70</v>
      </c>
      <c r="AU607">
        <v>10</v>
      </c>
      <c r="AV607">
        <v>1</v>
      </c>
      <c r="AW607">
        <v>1</v>
      </c>
      <c r="AZ607">
        <v>1</v>
      </c>
      <c r="BA607">
        <v>1</v>
      </c>
      <c r="BB607">
        <v>1</v>
      </c>
      <c r="BC607">
        <v>1</v>
      </c>
      <c r="BD607" t="s">
        <v>3</v>
      </c>
      <c r="BE607" t="s">
        <v>3</v>
      </c>
      <c r="BF607" t="s">
        <v>3</v>
      </c>
      <c r="BG607" t="s">
        <v>3</v>
      </c>
      <c r="BH607">
        <v>0</v>
      </c>
      <c r="BI607">
        <v>4</v>
      </c>
      <c r="BJ607" t="s">
        <v>134</v>
      </c>
      <c r="BM607">
        <v>0</v>
      </c>
      <c r="BN607">
        <v>0</v>
      </c>
      <c r="BO607" t="s">
        <v>3</v>
      </c>
      <c r="BP607">
        <v>0</v>
      </c>
      <c r="BQ607">
        <v>1</v>
      </c>
      <c r="BR607">
        <v>0</v>
      </c>
      <c r="BS607">
        <v>1</v>
      </c>
      <c r="BT607">
        <v>1</v>
      </c>
      <c r="BU607">
        <v>1</v>
      </c>
      <c r="BV607">
        <v>1</v>
      </c>
      <c r="BW607">
        <v>1</v>
      </c>
      <c r="BX607">
        <v>1</v>
      </c>
      <c r="BY607" t="s">
        <v>3</v>
      </c>
      <c r="BZ607">
        <v>70</v>
      </c>
      <c r="CA607">
        <v>10</v>
      </c>
      <c r="CE607">
        <v>0</v>
      </c>
      <c r="CF607">
        <v>0</v>
      </c>
      <c r="CG607">
        <v>0</v>
      </c>
      <c r="CM607">
        <v>0</v>
      </c>
      <c r="CN607" t="s">
        <v>3</v>
      </c>
      <c r="CO607">
        <v>0</v>
      </c>
      <c r="CP607">
        <f>(P607+Q607+S607)</f>
        <v>251757.19</v>
      </c>
      <c r="CQ607">
        <f>(AC607*BC607*AW607)</f>
        <v>17411.05</v>
      </c>
      <c r="CR607">
        <f>((((ET607)*BB607-(EU607)*BS607)+AE607*BS607)*AV607)</f>
        <v>2014.79</v>
      </c>
      <c r="CS607">
        <f>(AE607*BS607*AV607)</f>
        <v>1208.03</v>
      </c>
      <c r="CT607">
        <f>(AF607*BA607*AV607)</f>
        <v>3253.15</v>
      </c>
      <c r="CU607">
        <f>AG607</f>
        <v>0</v>
      </c>
      <c r="CV607">
        <f>(AH607*AV607)</f>
        <v>16.440000000000001</v>
      </c>
      <c r="CW607">
        <f t="shared" si="325"/>
        <v>0</v>
      </c>
      <c r="CX607">
        <f t="shared" si="325"/>
        <v>0</v>
      </c>
      <c r="CY607">
        <f>((S607*BZ607)/100)</f>
        <v>25279.022999999997</v>
      </c>
      <c r="CZ607">
        <f>((S607*CA607)/100)</f>
        <v>3611.2890000000002</v>
      </c>
      <c r="DC607" t="s">
        <v>3</v>
      </c>
      <c r="DD607" t="s">
        <v>3</v>
      </c>
      <c r="DE607" t="s">
        <v>3</v>
      </c>
      <c r="DF607" t="s">
        <v>3</v>
      </c>
      <c r="DG607" t="s">
        <v>3</v>
      </c>
      <c r="DH607" t="s">
        <v>3</v>
      </c>
      <c r="DI607" t="s">
        <v>3</v>
      </c>
      <c r="DJ607" t="s">
        <v>3</v>
      </c>
      <c r="DK607" t="s">
        <v>3</v>
      </c>
      <c r="DL607" t="s">
        <v>3</v>
      </c>
      <c r="DM607" t="s">
        <v>3</v>
      </c>
      <c r="DN607">
        <v>0</v>
      </c>
      <c r="DO607">
        <v>0</v>
      </c>
      <c r="DP607">
        <v>1</v>
      </c>
      <c r="DQ607">
        <v>1</v>
      </c>
      <c r="DU607">
        <v>1005</v>
      </c>
      <c r="DV607" t="s">
        <v>19</v>
      </c>
      <c r="DW607" t="s">
        <v>19</v>
      </c>
      <c r="DX607">
        <v>100</v>
      </c>
      <c r="EE607">
        <v>38447819</v>
      </c>
      <c r="EF607">
        <v>1</v>
      </c>
      <c r="EG607" t="s">
        <v>23</v>
      </c>
      <c r="EH607">
        <v>0</v>
      </c>
      <c r="EI607" t="s">
        <v>3</v>
      </c>
      <c r="EJ607">
        <v>4</v>
      </c>
      <c r="EK607">
        <v>0</v>
      </c>
      <c r="EL607" t="s">
        <v>24</v>
      </c>
      <c r="EM607" t="s">
        <v>25</v>
      </c>
      <c r="EO607" t="s">
        <v>3</v>
      </c>
      <c r="EQ607">
        <v>0</v>
      </c>
      <c r="ER607">
        <v>22678.99</v>
      </c>
      <c r="ES607">
        <v>17411.05</v>
      </c>
      <c r="ET607">
        <v>2014.79</v>
      </c>
      <c r="EU607">
        <v>1208.03</v>
      </c>
      <c r="EV607">
        <v>3253.15</v>
      </c>
      <c r="EW607">
        <v>16.440000000000001</v>
      </c>
      <c r="EX607">
        <v>0</v>
      </c>
      <c r="EY607">
        <v>0</v>
      </c>
      <c r="FQ607">
        <v>0</v>
      </c>
      <c r="FR607">
        <f>ROUND(IF(AND(BH607=3,BI607=3),P607,0),2)</f>
        <v>0</v>
      </c>
      <c r="FS607">
        <v>0</v>
      </c>
      <c r="FX607">
        <v>70</v>
      </c>
      <c r="FY607">
        <v>10</v>
      </c>
      <c r="GA607" t="s">
        <v>3</v>
      </c>
      <c r="GD607">
        <v>0</v>
      </c>
      <c r="GF607">
        <v>-820978144</v>
      </c>
      <c r="GG607">
        <v>2</v>
      </c>
      <c r="GH607">
        <v>1</v>
      </c>
      <c r="GI607">
        <v>-2</v>
      </c>
      <c r="GJ607">
        <v>0</v>
      </c>
      <c r="GK607">
        <f>ROUND(R607*(R12)/100,2)</f>
        <v>14483.04</v>
      </c>
      <c r="GL607">
        <f>ROUND(IF(AND(BH607=3,BI607=3,FS607&lt;&gt;0),P607,0),2)</f>
        <v>0</v>
      </c>
      <c r="GM607">
        <f>ROUND(O607+X607+Y607+GK607,2)+GX607</f>
        <v>295130.53999999998</v>
      </c>
      <c r="GN607">
        <f>IF(OR(BI607=0,BI607=1),ROUND(O607+X607+Y607+GK607,2),0)</f>
        <v>0</v>
      </c>
      <c r="GO607">
        <f>IF(BI607=2,ROUND(O607+X607+Y607+GK607,2),0)</f>
        <v>0</v>
      </c>
      <c r="GP607">
        <f>IF(BI607=4,ROUND(O607+X607+Y607+GK607,2)+GX607,0)</f>
        <v>295130.53999999998</v>
      </c>
      <c r="GR607">
        <v>0</v>
      </c>
      <c r="GS607">
        <v>3</v>
      </c>
      <c r="GT607">
        <v>0</v>
      </c>
      <c r="GU607" t="s">
        <v>3</v>
      </c>
      <c r="GV607">
        <f>ROUND((GT607),6)</f>
        <v>0</v>
      </c>
      <c r="GW607">
        <v>1</v>
      </c>
      <c r="GX607">
        <f>ROUND(HC607*I607,2)</f>
        <v>0</v>
      </c>
      <c r="HA607">
        <v>0</v>
      </c>
      <c r="HB607">
        <v>0</v>
      </c>
      <c r="HC607">
        <f>GV607*GW607</f>
        <v>0</v>
      </c>
      <c r="HE607" t="s">
        <v>3</v>
      </c>
      <c r="HF607" t="s">
        <v>3</v>
      </c>
      <c r="IK607">
        <v>0</v>
      </c>
    </row>
    <row r="608" spans="1:245" x14ac:dyDescent="0.2">
      <c r="A608">
        <v>17</v>
      </c>
      <c r="B608">
        <v>1</v>
      </c>
      <c r="C608">
        <f>ROW(SmtRes!A336)</f>
        <v>336</v>
      </c>
      <c r="D608">
        <f>ROW(EtalonRes!A305)</f>
        <v>305</v>
      </c>
      <c r="E608" t="s">
        <v>340</v>
      </c>
      <c r="F608" t="s">
        <v>136</v>
      </c>
      <c r="G608" t="s">
        <v>137</v>
      </c>
      <c r="H608" t="s">
        <v>19</v>
      </c>
      <c r="I608">
        <f>ROUND(1110.09/100,9)</f>
        <v>11.100899999999999</v>
      </c>
      <c r="J608">
        <v>0</v>
      </c>
      <c r="O608">
        <f>ROUND(CP608,2)</f>
        <v>38969.050000000003</v>
      </c>
      <c r="P608">
        <f>ROUND(CQ608*I608,2)</f>
        <v>33001.199999999997</v>
      </c>
      <c r="Q608">
        <f>ROUND(CR608*I608,2)</f>
        <v>1168.26</v>
      </c>
      <c r="R608">
        <f>ROUND(CS608*I608,2)</f>
        <v>665.61</v>
      </c>
      <c r="S608">
        <f>ROUND(CT608*I608,2)</f>
        <v>4799.59</v>
      </c>
      <c r="T608">
        <f>ROUND(CU608*I608,2)</f>
        <v>0</v>
      </c>
      <c r="U608">
        <f>CV608*I608</f>
        <v>25.643079</v>
      </c>
      <c r="V608">
        <f>CW608*I608</f>
        <v>0</v>
      </c>
      <c r="W608">
        <f>ROUND(CX608*I608,2)</f>
        <v>0</v>
      </c>
      <c r="X608">
        <f t="shared" si="322"/>
        <v>3359.71</v>
      </c>
      <c r="Y608">
        <f t="shared" si="322"/>
        <v>479.96</v>
      </c>
      <c r="AA608">
        <v>38799519</v>
      </c>
      <c r="AB608">
        <f>ROUND((AC608+AD608+AF608),6)</f>
        <v>3510.44</v>
      </c>
      <c r="AC608">
        <f>ROUND((ES608),6)</f>
        <v>2972.84</v>
      </c>
      <c r="AD608">
        <f>ROUND((((ET608)-(EU608))+AE608),6)</f>
        <v>105.24</v>
      </c>
      <c r="AE608">
        <f t="shared" si="323"/>
        <v>59.96</v>
      </c>
      <c r="AF608">
        <f t="shared" si="323"/>
        <v>432.36</v>
      </c>
      <c r="AG608">
        <f>ROUND((AP608),6)</f>
        <v>0</v>
      </c>
      <c r="AH608">
        <f t="shared" si="324"/>
        <v>2.31</v>
      </c>
      <c r="AI608">
        <f t="shared" si="324"/>
        <v>0</v>
      </c>
      <c r="AJ608">
        <f>(AS608)</f>
        <v>0</v>
      </c>
      <c r="AK608">
        <v>3510.44</v>
      </c>
      <c r="AL608">
        <v>2972.84</v>
      </c>
      <c r="AM608">
        <v>105.24</v>
      </c>
      <c r="AN608">
        <v>59.96</v>
      </c>
      <c r="AO608">
        <v>432.36</v>
      </c>
      <c r="AP608">
        <v>0</v>
      </c>
      <c r="AQ608">
        <v>2.31</v>
      </c>
      <c r="AR608">
        <v>0</v>
      </c>
      <c r="AS608">
        <v>0</v>
      </c>
      <c r="AT608">
        <v>70</v>
      </c>
      <c r="AU608">
        <v>10</v>
      </c>
      <c r="AV608">
        <v>1</v>
      </c>
      <c r="AW608">
        <v>1</v>
      </c>
      <c r="AZ608">
        <v>1</v>
      </c>
      <c r="BA608">
        <v>1</v>
      </c>
      <c r="BB608">
        <v>1</v>
      </c>
      <c r="BC608">
        <v>1</v>
      </c>
      <c r="BD608" t="s">
        <v>3</v>
      </c>
      <c r="BE608" t="s">
        <v>3</v>
      </c>
      <c r="BF608" t="s">
        <v>3</v>
      </c>
      <c r="BG608" t="s">
        <v>3</v>
      </c>
      <c r="BH608">
        <v>0</v>
      </c>
      <c r="BI608">
        <v>4</v>
      </c>
      <c r="BJ608" t="s">
        <v>138</v>
      </c>
      <c r="BM608">
        <v>0</v>
      </c>
      <c r="BN608">
        <v>0</v>
      </c>
      <c r="BO608" t="s">
        <v>3</v>
      </c>
      <c r="BP608">
        <v>0</v>
      </c>
      <c r="BQ608">
        <v>1</v>
      </c>
      <c r="BR608">
        <v>0</v>
      </c>
      <c r="BS608">
        <v>1</v>
      </c>
      <c r="BT608">
        <v>1</v>
      </c>
      <c r="BU608">
        <v>1</v>
      </c>
      <c r="BV608">
        <v>1</v>
      </c>
      <c r="BW608">
        <v>1</v>
      </c>
      <c r="BX608">
        <v>1</v>
      </c>
      <c r="BY608" t="s">
        <v>3</v>
      </c>
      <c r="BZ608">
        <v>70</v>
      </c>
      <c r="CA608">
        <v>10</v>
      </c>
      <c r="CE608">
        <v>0</v>
      </c>
      <c r="CF608">
        <v>0</v>
      </c>
      <c r="CG608">
        <v>0</v>
      </c>
      <c r="CM608">
        <v>0</v>
      </c>
      <c r="CN608" t="s">
        <v>3</v>
      </c>
      <c r="CO608">
        <v>0</v>
      </c>
      <c r="CP608">
        <f>(P608+Q608+S608)</f>
        <v>38969.050000000003</v>
      </c>
      <c r="CQ608">
        <f>(AC608*BC608*AW608)</f>
        <v>2972.84</v>
      </c>
      <c r="CR608">
        <f>((((ET608)*BB608-(EU608)*BS608)+AE608*BS608)*AV608)</f>
        <v>105.24</v>
      </c>
      <c r="CS608">
        <f>(AE608*BS608*AV608)</f>
        <v>59.96</v>
      </c>
      <c r="CT608">
        <f>(AF608*BA608*AV608)</f>
        <v>432.36</v>
      </c>
      <c r="CU608">
        <f>AG608</f>
        <v>0</v>
      </c>
      <c r="CV608">
        <f>(AH608*AV608)</f>
        <v>2.31</v>
      </c>
      <c r="CW608">
        <f t="shared" si="325"/>
        <v>0</v>
      </c>
      <c r="CX608">
        <f t="shared" si="325"/>
        <v>0</v>
      </c>
      <c r="CY608">
        <f>((S608*BZ608)/100)</f>
        <v>3359.7129999999997</v>
      </c>
      <c r="CZ608">
        <f>((S608*CA608)/100)</f>
        <v>479.959</v>
      </c>
      <c r="DC608" t="s">
        <v>3</v>
      </c>
      <c r="DD608" t="s">
        <v>3</v>
      </c>
      <c r="DE608" t="s">
        <v>3</v>
      </c>
      <c r="DF608" t="s">
        <v>3</v>
      </c>
      <c r="DG608" t="s">
        <v>3</v>
      </c>
      <c r="DH608" t="s">
        <v>3</v>
      </c>
      <c r="DI608" t="s">
        <v>3</v>
      </c>
      <c r="DJ608" t="s">
        <v>3</v>
      </c>
      <c r="DK608" t="s">
        <v>3</v>
      </c>
      <c r="DL608" t="s">
        <v>3</v>
      </c>
      <c r="DM608" t="s">
        <v>3</v>
      </c>
      <c r="DN608">
        <v>0</v>
      </c>
      <c r="DO608">
        <v>0</v>
      </c>
      <c r="DP608">
        <v>1</v>
      </c>
      <c r="DQ608">
        <v>1</v>
      </c>
      <c r="DU608">
        <v>1005</v>
      </c>
      <c r="DV608" t="s">
        <v>19</v>
      </c>
      <c r="DW608" t="s">
        <v>19</v>
      </c>
      <c r="DX608">
        <v>100</v>
      </c>
      <c r="EE608">
        <v>38447819</v>
      </c>
      <c r="EF608">
        <v>1</v>
      </c>
      <c r="EG608" t="s">
        <v>23</v>
      </c>
      <c r="EH608">
        <v>0</v>
      </c>
      <c r="EI608" t="s">
        <v>3</v>
      </c>
      <c r="EJ608">
        <v>4</v>
      </c>
      <c r="EK608">
        <v>0</v>
      </c>
      <c r="EL608" t="s">
        <v>24</v>
      </c>
      <c r="EM608" t="s">
        <v>25</v>
      </c>
      <c r="EO608" t="s">
        <v>3</v>
      </c>
      <c r="EQ608">
        <v>0</v>
      </c>
      <c r="ER608">
        <v>3510.44</v>
      </c>
      <c r="ES608">
        <v>2972.84</v>
      </c>
      <c r="ET608">
        <v>105.24</v>
      </c>
      <c r="EU608">
        <v>59.96</v>
      </c>
      <c r="EV608">
        <v>432.36</v>
      </c>
      <c r="EW608">
        <v>2.31</v>
      </c>
      <c r="EX608">
        <v>0</v>
      </c>
      <c r="EY608">
        <v>0</v>
      </c>
      <c r="FQ608">
        <v>0</v>
      </c>
      <c r="FR608">
        <f>ROUND(IF(AND(BH608=3,BI608=3),P608,0),2)</f>
        <v>0</v>
      </c>
      <c r="FS608">
        <v>0</v>
      </c>
      <c r="FX608">
        <v>70</v>
      </c>
      <c r="FY608">
        <v>10</v>
      </c>
      <c r="GA608" t="s">
        <v>3</v>
      </c>
      <c r="GD608">
        <v>0</v>
      </c>
      <c r="GF608">
        <v>-1891653427</v>
      </c>
      <c r="GG608">
        <v>2</v>
      </c>
      <c r="GH608">
        <v>1</v>
      </c>
      <c r="GI608">
        <v>-2</v>
      </c>
      <c r="GJ608">
        <v>0</v>
      </c>
      <c r="GK608">
        <f>ROUND(R608*(R12)/100,2)</f>
        <v>718.86</v>
      </c>
      <c r="GL608">
        <f>ROUND(IF(AND(BH608=3,BI608=3,FS608&lt;&gt;0),P608,0),2)</f>
        <v>0</v>
      </c>
      <c r="GM608">
        <f>ROUND(O608+X608+Y608+GK608,2)+GX608</f>
        <v>43527.58</v>
      </c>
      <c r="GN608">
        <f>IF(OR(BI608=0,BI608=1),ROUND(O608+X608+Y608+GK608,2),0)</f>
        <v>0</v>
      </c>
      <c r="GO608">
        <f>IF(BI608=2,ROUND(O608+X608+Y608+GK608,2),0)</f>
        <v>0</v>
      </c>
      <c r="GP608">
        <f>IF(BI608=4,ROUND(O608+X608+Y608+GK608,2)+GX608,0)</f>
        <v>43527.58</v>
      </c>
      <c r="GR608">
        <v>0</v>
      </c>
      <c r="GS608">
        <v>3</v>
      </c>
      <c r="GT608">
        <v>0</v>
      </c>
      <c r="GU608" t="s">
        <v>3</v>
      </c>
      <c r="GV608">
        <f>ROUND((GT608),6)</f>
        <v>0</v>
      </c>
      <c r="GW608">
        <v>1</v>
      </c>
      <c r="GX608">
        <f>ROUND(HC608*I608,2)</f>
        <v>0</v>
      </c>
      <c r="HA608">
        <v>0</v>
      </c>
      <c r="HB608">
        <v>0</v>
      </c>
      <c r="HC608">
        <f>GV608*GW608</f>
        <v>0</v>
      </c>
      <c r="HE608" t="s">
        <v>3</v>
      </c>
      <c r="HF608" t="s">
        <v>3</v>
      </c>
      <c r="IK608">
        <v>0</v>
      </c>
    </row>
    <row r="610" spans="1:206" x14ac:dyDescent="0.2">
      <c r="A610" s="2">
        <v>51</v>
      </c>
      <c r="B610" s="2">
        <f>B602</f>
        <v>1</v>
      </c>
      <c r="C610" s="2">
        <f>A602</f>
        <v>5</v>
      </c>
      <c r="D610" s="2">
        <f>ROW(A602)</f>
        <v>602</v>
      </c>
      <c r="E610" s="2"/>
      <c r="F610" s="2" t="str">
        <f>IF(F602&lt;&gt;"",F602,"")</f>
        <v>Новый подраздел</v>
      </c>
      <c r="G610" s="2" t="str">
        <f>IF(G602&lt;&gt;"",G602,"")</f>
        <v>Строительные работы</v>
      </c>
      <c r="H610" s="2">
        <v>0</v>
      </c>
      <c r="I610" s="2"/>
      <c r="J610" s="2"/>
      <c r="K610" s="2"/>
      <c r="L610" s="2"/>
      <c r="M610" s="2"/>
      <c r="N610" s="2"/>
      <c r="O610" s="2">
        <f t="shared" ref="O610:T610" si="326">ROUND(AB610,2)</f>
        <v>500806.84</v>
      </c>
      <c r="P610" s="2">
        <f t="shared" si="326"/>
        <v>358241.42</v>
      </c>
      <c r="Q610" s="2">
        <f t="shared" si="326"/>
        <v>68496.789999999994</v>
      </c>
      <c r="R610" s="2">
        <f t="shared" si="326"/>
        <v>39371.230000000003</v>
      </c>
      <c r="S610" s="2">
        <f t="shared" si="326"/>
        <v>74068.63</v>
      </c>
      <c r="T610" s="2">
        <f t="shared" si="326"/>
        <v>0</v>
      </c>
      <c r="U610" s="2">
        <f>AH610</f>
        <v>363.24187499999999</v>
      </c>
      <c r="V610" s="2">
        <f>AI610</f>
        <v>0</v>
      </c>
      <c r="W610" s="2">
        <f>ROUND(AJ610,2)</f>
        <v>0</v>
      </c>
      <c r="X610" s="2">
        <f>ROUND(AK610,2)</f>
        <v>51848.04</v>
      </c>
      <c r="Y610" s="2">
        <f>ROUND(AL610,2)</f>
        <v>7406.87</v>
      </c>
      <c r="Z610" s="2"/>
      <c r="AA610" s="2"/>
      <c r="AB610" s="2">
        <f>ROUND(SUMIF(AA606:AA608,"=38799519",O606:O608),2)</f>
        <v>500806.84</v>
      </c>
      <c r="AC610" s="2">
        <f>ROUND(SUMIF(AA606:AA608,"=38799519",P606:P608),2)</f>
        <v>358241.42</v>
      </c>
      <c r="AD610" s="2">
        <f>ROUND(SUMIF(AA606:AA608,"=38799519",Q606:Q608),2)</f>
        <v>68496.789999999994</v>
      </c>
      <c r="AE610" s="2">
        <f>ROUND(SUMIF(AA606:AA608,"=38799519",R606:R608),2)</f>
        <v>39371.230000000003</v>
      </c>
      <c r="AF610" s="2">
        <f>ROUND(SUMIF(AA606:AA608,"=38799519",S606:S608),2)</f>
        <v>74068.63</v>
      </c>
      <c r="AG610" s="2">
        <f>ROUND(SUMIF(AA606:AA608,"=38799519",T606:T608),2)</f>
        <v>0</v>
      </c>
      <c r="AH610" s="2">
        <f>SUMIF(AA606:AA608,"=38799519",U606:U608)</f>
        <v>363.24187499999999</v>
      </c>
      <c r="AI610" s="2">
        <f>SUMIF(AA606:AA608,"=38799519",V606:V608)</f>
        <v>0</v>
      </c>
      <c r="AJ610" s="2">
        <f>ROUND(SUMIF(AA606:AA608,"=38799519",W606:W608),2)</f>
        <v>0</v>
      </c>
      <c r="AK610" s="2">
        <f>ROUND(SUMIF(AA606:AA608,"=38799519",X606:X608),2)</f>
        <v>51848.04</v>
      </c>
      <c r="AL610" s="2">
        <f>ROUND(SUMIF(AA606:AA608,"=38799519",Y606:Y608),2)</f>
        <v>7406.87</v>
      </c>
      <c r="AM610" s="2"/>
      <c r="AN610" s="2"/>
      <c r="AO610" s="2">
        <f t="shared" ref="AO610:BD610" si="327">ROUND(BX610,2)</f>
        <v>0</v>
      </c>
      <c r="AP610" s="2">
        <f t="shared" si="327"/>
        <v>0</v>
      </c>
      <c r="AQ610" s="2">
        <f t="shared" si="327"/>
        <v>0</v>
      </c>
      <c r="AR610" s="2">
        <f t="shared" si="327"/>
        <v>602582.68000000005</v>
      </c>
      <c r="AS610" s="2">
        <f t="shared" si="327"/>
        <v>0</v>
      </c>
      <c r="AT610" s="2">
        <f t="shared" si="327"/>
        <v>0</v>
      </c>
      <c r="AU610" s="2">
        <f t="shared" si="327"/>
        <v>602582.68000000005</v>
      </c>
      <c r="AV610" s="2">
        <f t="shared" si="327"/>
        <v>358241.42</v>
      </c>
      <c r="AW610" s="2">
        <f t="shared" si="327"/>
        <v>358241.42</v>
      </c>
      <c r="AX610" s="2">
        <f t="shared" si="327"/>
        <v>0</v>
      </c>
      <c r="AY610" s="2">
        <f t="shared" si="327"/>
        <v>358241.42</v>
      </c>
      <c r="AZ610" s="2">
        <f t="shared" si="327"/>
        <v>0</v>
      </c>
      <c r="BA610" s="2">
        <f t="shared" si="327"/>
        <v>0</v>
      </c>
      <c r="BB610" s="2">
        <f t="shared" si="327"/>
        <v>0</v>
      </c>
      <c r="BC610" s="2">
        <f t="shared" si="327"/>
        <v>0</v>
      </c>
      <c r="BD610" s="2">
        <f t="shared" si="327"/>
        <v>0</v>
      </c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>
        <f>ROUND(SUMIF(AA606:AA608,"=38799519",FQ606:FQ608),2)</f>
        <v>0</v>
      </c>
      <c r="BY610" s="2">
        <f>ROUND(SUMIF(AA606:AA608,"=38799519",FR606:FR608),2)</f>
        <v>0</v>
      </c>
      <c r="BZ610" s="2">
        <f>ROUND(SUMIF(AA606:AA608,"=38799519",GL606:GL608),2)</f>
        <v>0</v>
      </c>
      <c r="CA610" s="2">
        <f>ROUND(SUMIF(AA606:AA608,"=38799519",GM606:GM608),2)</f>
        <v>602582.68000000005</v>
      </c>
      <c r="CB610" s="2">
        <f>ROUND(SUMIF(AA606:AA608,"=38799519",GN606:GN608),2)</f>
        <v>0</v>
      </c>
      <c r="CC610" s="2">
        <f>ROUND(SUMIF(AA606:AA608,"=38799519",GO606:GO608),2)</f>
        <v>0</v>
      </c>
      <c r="CD610" s="2">
        <f>ROUND(SUMIF(AA606:AA608,"=38799519",GP606:GP608),2)</f>
        <v>602582.68000000005</v>
      </c>
      <c r="CE610" s="2">
        <f>AC610-BX610</f>
        <v>358241.42</v>
      </c>
      <c r="CF610" s="2">
        <f>AC610-BY610</f>
        <v>358241.42</v>
      </c>
      <c r="CG610" s="2">
        <f>BX610-BZ610</f>
        <v>0</v>
      </c>
      <c r="CH610" s="2">
        <f>AC610-BX610-BY610+BZ610</f>
        <v>358241.42</v>
      </c>
      <c r="CI610" s="2">
        <f>BY610-BZ610</f>
        <v>0</v>
      </c>
      <c r="CJ610" s="2">
        <f>ROUND(SUMIF(AA606:AA608,"=38799519",GX606:GX608),2)</f>
        <v>0</v>
      </c>
      <c r="CK610" s="2">
        <f>ROUND(SUMIF(AA606:AA608,"=38799519",GY606:GY608),2)</f>
        <v>0</v>
      </c>
      <c r="CL610" s="2">
        <f>ROUND(SUMIF(AA606:AA608,"=38799519",GZ606:GZ608),2)</f>
        <v>0</v>
      </c>
      <c r="CM610" s="2">
        <f>ROUND(SUMIF(AA606:AA608,"=38799519",HD606:HD608),2)</f>
        <v>0</v>
      </c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3"/>
      <c r="DH610" s="3"/>
      <c r="DI610" s="3"/>
      <c r="DJ610" s="3"/>
      <c r="DK610" s="3"/>
      <c r="DL610" s="3"/>
      <c r="DM610" s="3"/>
      <c r="DN610" s="3"/>
      <c r="DO610" s="3"/>
      <c r="DP610" s="3"/>
      <c r="DQ610" s="3"/>
      <c r="DR610" s="3"/>
      <c r="DS610" s="3"/>
      <c r="DT610" s="3"/>
      <c r="DU610" s="3"/>
      <c r="DV610" s="3"/>
      <c r="DW610" s="3"/>
      <c r="DX610" s="3"/>
      <c r="DY610" s="3"/>
      <c r="DZ610" s="3"/>
      <c r="EA610" s="3"/>
      <c r="EB610" s="3"/>
      <c r="EC610" s="3"/>
      <c r="ED610" s="3"/>
      <c r="EE610" s="3"/>
      <c r="EF610" s="3"/>
      <c r="EG610" s="3"/>
      <c r="EH610" s="3"/>
      <c r="EI610" s="3"/>
      <c r="EJ610" s="3"/>
      <c r="EK610" s="3"/>
      <c r="EL610" s="3"/>
      <c r="EM610" s="3"/>
      <c r="EN610" s="3"/>
      <c r="EO610" s="3"/>
      <c r="EP610" s="3"/>
      <c r="EQ610" s="3"/>
      <c r="ER610" s="3"/>
      <c r="ES610" s="3"/>
      <c r="ET610" s="3"/>
      <c r="EU610" s="3"/>
      <c r="EV610" s="3"/>
      <c r="EW610" s="3"/>
      <c r="EX610" s="3"/>
      <c r="EY610" s="3"/>
      <c r="EZ610" s="3"/>
      <c r="FA610" s="3"/>
      <c r="FB610" s="3"/>
      <c r="FC610" s="3"/>
      <c r="FD610" s="3"/>
      <c r="FE610" s="3"/>
      <c r="FF610" s="3"/>
      <c r="FG610" s="3"/>
      <c r="FH610" s="3"/>
      <c r="FI610" s="3"/>
      <c r="FJ610" s="3"/>
      <c r="FK610" s="3"/>
      <c r="FL610" s="3"/>
      <c r="FM610" s="3"/>
      <c r="FN610" s="3"/>
      <c r="FO610" s="3"/>
      <c r="FP610" s="3"/>
      <c r="FQ610" s="3"/>
      <c r="FR610" s="3"/>
      <c r="FS610" s="3"/>
      <c r="FT610" s="3"/>
      <c r="FU610" s="3"/>
      <c r="FV610" s="3"/>
      <c r="FW610" s="3"/>
      <c r="FX610" s="3"/>
      <c r="FY610" s="3"/>
      <c r="FZ610" s="3"/>
      <c r="GA610" s="3"/>
      <c r="GB610" s="3"/>
      <c r="GC610" s="3"/>
      <c r="GD610" s="3"/>
      <c r="GE610" s="3"/>
      <c r="GF610" s="3"/>
      <c r="GG610" s="3"/>
      <c r="GH610" s="3"/>
      <c r="GI610" s="3"/>
      <c r="GJ610" s="3"/>
      <c r="GK610" s="3"/>
      <c r="GL610" s="3"/>
      <c r="GM610" s="3"/>
      <c r="GN610" s="3"/>
      <c r="GO610" s="3"/>
      <c r="GP610" s="3"/>
      <c r="GQ610" s="3"/>
      <c r="GR610" s="3"/>
      <c r="GS610" s="3"/>
      <c r="GT610" s="3"/>
      <c r="GU610" s="3"/>
      <c r="GV610" s="3"/>
      <c r="GW610" s="3"/>
      <c r="GX610" s="3">
        <v>0</v>
      </c>
    </row>
    <row r="612" spans="1:206" x14ac:dyDescent="0.2">
      <c r="A612" s="4">
        <v>50</v>
      </c>
      <c r="B612" s="4">
        <v>0</v>
      </c>
      <c r="C612" s="4">
        <v>0</v>
      </c>
      <c r="D612" s="4">
        <v>1</v>
      </c>
      <c r="E612" s="4">
        <v>201</v>
      </c>
      <c r="F612" s="4">
        <f>ROUND(Source!O610,O612)</f>
        <v>500806.84</v>
      </c>
      <c r="G612" s="4" t="s">
        <v>50</v>
      </c>
      <c r="H612" s="4" t="s">
        <v>51</v>
      </c>
      <c r="I612" s="4"/>
      <c r="J612" s="4"/>
      <c r="K612" s="4">
        <v>201</v>
      </c>
      <c r="L612" s="4">
        <v>1</v>
      </c>
      <c r="M612" s="4">
        <v>3</v>
      </c>
      <c r="N612" s="4" t="s">
        <v>3</v>
      </c>
      <c r="O612" s="4">
        <v>2</v>
      </c>
      <c r="P612" s="4"/>
      <c r="Q612" s="4"/>
      <c r="R612" s="4"/>
      <c r="S612" s="4"/>
      <c r="T612" s="4"/>
      <c r="U612" s="4"/>
      <c r="V612" s="4"/>
      <c r="W612" s="4"/>
    </row>
    <row r="613" spans="1:206" x14ac:dyDescent="0.2">
      <c r="A613" s="4">
        <v>50</v>
      </c>
      <c r="B613" s="4">
        <v>0</v>
      </c>
      <c r="C613" s="4">
        <v>0</v>
      </c>
      <c r="D613" s="4">
        <v>1</v>
      </c>
      <c r="E613" s="4">
        <v>202</v>
      </c>
      <c r="F613" s="4">
        <f>ROUND(Source!P610,O613)</f>
        <v>358241.42</v>
      </c>
      <c r="G613" s="4" t="s">
        <v>52</v>
      </c>
      <c r="H613" s="4" t="s">
        <v>53</v>
      </c>
      <c r="I613" s="4"/>
      <c r="J613" s="4"/>
      <c r="K613" s="4">
        <v>202</v>
      </c>
      <c r="L613" s="4">
        <v>2</v>
      </c>
      <c r="M613" s="4">
        <v>3</v>
      </c>
      <c r="N613" s="4" t="s">
        <v>3</v>
      </c>
      <c r="O613" s="4">
        <v>2</v>
      </c>
      <c r="P613" s="4"/>
      <c r="Q613" s="4"/>
      <c r="R613" s="4"/>
      <c r="S613" s="4"/>
      <c r="T613" s="4"/>
      <c r="U613" s="4"/>
      <c r="V613" s="4"/>
      <c r="W613" s="4"/>
    </row>
    <row r="614" spans="1:206" x14ac:dyDescent="0.2">
      <c r="A614" s="4">
        <v>50</v>
      </c>
      <c r="B614" s="4">
        <v>0</v>
      </c>
      <c r="C614" s="4">
        <v>0</v>
      </c>
      <c r="D614" s="4">
        <v>1</v>
      </c>
      <c r="E614" s="4">
        <v>222</v>
      </c>
      <c r="F614" s="4">
        <f>ROUND(Source!AO610,O614)</f>
        <v>0</v>
      </c>
      <c r="G614" s="4" t="s">
        <v>54</v>
      </c>
      <c r="H614" s="4" t="s">
        <v>55</v>
      </c>
      <c r="I614" s="4"/>
      <c r="J614" s="4"/>
      <c r="K614" s="4">
        <v>222</v>
      </c>
      <c r="L614" s="4">
        <v>3</v>
      </c>
      <c r="M614" s="4">
        <v>3</v>
      </c>
      <c r="N614" s="4" t="s">
        <v>3</v>
      </c>
      <c r="O614" s="4">
        <v>2</v>
      </c>
      <c r="P614" s="4"/>
      <c r="Q614" s="4"/>
      <c r="R614" s="4"/>
      <c r="S614" s="4"/>
      <c r="T614" s="4"/>
      <c r="U614" s="4"/>
      <c r="V614" s="4"/>
      <c r="W614" s="4"/>
    </row>
    <row r="615" spans="1:206" x14ac:dyDescent="0.2">
      <c r="A615" s="4">
        <v>50</v>
      </c>
      <c r="B615" s="4">
        <v>0</v>
      </c>
      <c r="C615" s="4">
        <v>0</v>
      </c>
      <c r="D615" s="4">
        <v>1</v>
      </c>
      <c r="E615" s="4">
        <v>225</v>
      </c>
      <c r="F615" s="4">
        <f>ROUND(Source!AV610,O615)</f>
        <v>358241.42</v>
      </c>
      <c r="G615" s="4" t="s">
        <v>56</v>
      </c>
      <c r="H615" s="4" t="s">
        <v>57</v>
      </c>
      <c r="I615" s="4"/>
      <c r="J615" s="4"/>
      <c r="K615" s="4">
        <v>225</v>
      </c>
      <c r="L615" s="4">
        <v>4</v>
      </c>
      <c r="M615" s="4">
        <v>3</v>
      </c>
      <c r="N615" s="4" t="s">
        <v>3</v>
      </c>
      <c r="O615" s="4">
        <v>2</v>
      </c>
      <c r="P615" s="4"/>
      <c r="Q615" s="4"/>
      <c r="R615" s="4"/>
      <c r="S615" s="4"/>
      <c r="T615" s="4"/>
      <c r="U615" s="4"/>
      <c r="V615" s="4"/>
      <c r="W615" s="4"/>
    </row>
    <row r="616" spans="1:206" x14ac:dyDescent="0.2">
      <c r="A616" s="4">
        <v>50</v>
      </c>
      <c r="B616" s="4">
        <v>0</v>
      </c>
      <c r="C616" s="4">
        <v>0</v>
      </c>
      <c r="D616" s="4">
        <v>1</v>
      </c>
      <c r="E616" s="4">
        <v>226</v>
      </c>
      <c r="F616" s="4">
        <f>ROUND(Source!AW610,O616)</f>
        <v>358241.42</v>
      </c>
      <c r="G616" s="4" t="s">
        <v>58</v>
      </c>
      <c r="H616" s="4" t="s">
        <v>59</v>
      </c>
      <c r="I616" s="4"/>
      <c r="J616" s="4"/>
      <c r="K616" s="4">
        <v>226</v>
      </c>
      <c r="L616" s="4">
        <v>5</v>
      </c>
      <c r="M616" s="4">
        <v>3</v>
      </c>
      <c r="N616" s="4" t="s">
        <v>3</v>
      </c>
      <c r="O616" s="4">
        <v>2</v>
      </c>
      <c r="P616" s="4"/>
      <c r="Q616" s="4"/>
      <c r="R616" s="4"/>
      <c r="S616" s="4"/>
      <c r="T616" s="4"/>
      <c r="U616" s="4"/>
      <c r="V616" s="4"/>
      <c r="W616" s="4"/>
    </row>
    <row r="617" spans="1:206" x14ac:dyDescent="0.2">
      <c r="A617" s="4">
        <v>50</v>
      </c>
      <c r="B617" s="4">
        <v>0</v>
      </c>
      <c r="C617" s="4">
        <v>0</v>
      </c>
      <c r="D617" s="4">
        <v>1</v>
      </c>
      <c r="E617" s="4">
        <v>227</v>
      </c>
      <c r="F617" s="4">
        <f>ROUND(Source!AX610,O617)</f>
        <v>0</v>
      </c>
      <c r="G617" s="4" t="s">
        <v>60</v>
      </c>
      <c r="H617" s="4" t="s">
        <v>61</v>
      </c>
      <c r="I617" s="4"/>
      <c r="J617" s="4"/>
      <c r="K617" s="4">
        <v>227</v>
      </c>
      <c r="L617" s="4">
        <v>6</v>
      </c>
      <c r="M617" s="4">
        <v>3</v>
      </c>
      <c r="N617" s="4" t="s">
        <v>3</v>
      </c>
      <c r="O617" s="4">
        <v>2</v>
      </c>
      <c r="P617" s="4"/>
      <c r="Q617" s="4"/>
      <c r="R617" s="4"/>
      <c r="S617" s="4"/>
      <c r="T617" s="4"/>
      <c r="U617" s="4"/>
      <c r="V617" s="4"/>
      <c r="W617" s="4"/>
    </row>
    <row r="618" spans="1:206" x14ac:dyDescent="0.2">
      <c r="A618" s="4">
        <v>50</v>
      </c>
      <c r="B618" s="4">
        <v>0</v>
      </c>
      <c r="C618" s="4">
        <v>0</v>
      </c>
      <c r="D618" s="4">
        <v>1</v>
      </c>
      <c r="E618" s="4">
        <v>228</v>
      </c>
      <c r="F618" s="4">
        <f>ROUND(Source!AY610,O618)</f>
        <v>358241.42</v>
      </c>
      <c r="G618" s="4" t="s">
        <v>62</v>
      </c>
      <c r="H618" s="4" t="s">
        <v>63</v>
      </c>
      <c r="I618" s="4"/>
      <c r="J618" s="4"/>
      <c r="K618" s="4">
        <v>228</v>
      </c>
      <c r="L618" s="4">
        <v>7</v>
      </c>
      <c r="M618" s="4">
        <v>3</v>
      </c>
      <c r="N618" s="4" t="s">
        <v>3</v>
      </c>
      <c r="O618" s="4">
        <v>2</v>
      </c>
      <c r="P618" s="4"/>
      <c r="Q618" s="4"/>
      <c r="R618" s="4"/>
      <c r="S618" s="4"/>
      <c r="T618" s="4"/>
      <c r="U618" s="4"/>
      <c r="V618" s="4"/>
      <c r="W618" s="4"/>
    </row>
    <row r="619" spans="1:206" x14ac:dyDescent="0.2">
      <c r="A619" s="4">
        <v>50</v>
      </c>
      <c r="B619" s="4">
        <v>0</v>
      </c>
      <c r="C619" s="4">
        <v>0</v>
      </c>
      <c r="D619" s="4">
        <v>1</v>
      </c>
      <c r="E619" s="4">
        <v>216</v>
      </c>
      <c r="F619" s="4">
        <f>ROUND(Source!AP610,O619)</f>
        <v>0</v>
      </c>
      <c r="G619" s="4" t="s">
        <v>64</v>
      </c>
      <c r="H619" s="4" t="s">
        <v>65</v>
      </c>
      <c r="I619" s="4"/>
      <c r="J619" s="4"/>
      <c r="K619" s="4">
        <v>216</v>
      </c>
      <c r="L619" s="4">
        <v>8</v>
      </c>
      <c r="M619" s="4">
        <v>3</v>
      </c>
      <c r="N619" s="4" t="s">
        <v>3</v>
      </c>
      <c r="O619" s="4">
        <v>2</v>
      </c>
      <c r="P619" s="4"/>
      <c r="Q619" s="4"/>
      <c r="R619" s="4"/>
      <c r="S619" s="4"/>
      <c r="T619" s="4"/>
      <c r="U619" s="4"/>
      <c r="V619" s="4"/>
      <c r="W619" s="4"/>
    </row>
    <row r="620" spans="1:206" x14ac:dyDescent="0.2">
      <c r="A620" s="4">
        <v>50</v>
      </c>
      <c r="B620" s="4">
        <v>0</v>
      </c>
      <c r="C620" s="4">
        <v>0</v>
      </c>
      <c r="D620" s="4">
        <v>1</v>
      </c>
      <c r="E620" s="4">
        <v>223</v>
      </c>
      <c r="F620" s="4">
        <f>ROUND(Source!AQ610,O620)</f>
        <v>0</v>
      </c>
      <c r="G620" s="4" t="s">
        <v>66</v>
      </c>
      <c r="H620" s="4" t="s">
        <v>67</v>
      </c>
      <c r="I620" s="4"/>
      <c r="J620" s="4"/>
      <c r="K620" s="4">
        <v>223</v>
      </c>
      <c r="L620" s="4">
        <v>9</v>
      </c>
      <c r="M620" s="4">
        <v>3</v>
      </c>
      <c r="N620" s="4" t="s">
        <v>3</v>
      </c>
      <c r="O620" s="4">
        <v>2</v>
      </c>
      <c r="P620" s="4"/>
      <c r="Q620" s="4"/>
      <c r="R620" s="4"/>
      <c r="S620" s="4"/>
      <c r="T620" s="4"/>
      <c r="U620" s="4"/>
      <c r="V620" s="4"/>
      <c r="W620" s="4"/>
    </row>
    <row r="621" spans="1:206" x14ac:dyDescent="0.2">
      <c r="A621" s="4">
        <v>50</v>
      </c>
      <c r="B621" s="4">
        <v>0</v>
      </c>
      <c r="C621" s="4">
        <v>0</v>
      </c>
      <c r="D621" s="4">
        <v>1</v>
      </c>
      <c r="E621" s="4">
        <v>229</v>
      </c>
      <c r="F621" s="4">
        <f>ROUND(Source!AZ610,O621)</f>
        <v>0</v>
      </c>
      <c r="G621" s="4" t="s">
        <v>68</v>
      </c>
      <c r="H621" s="4" t="s">
        <v>69</v>
      </c>
      <c r="I621" s="4"/>
      <c r="J621" s="4"/>
      <c r="K621" s="4">
        <v>229</v>
      </c>
      <c r="L621" s="4">
        <v>10</v>
      </c>
      <c r="M621" s="4">
        <v>3</v>
      </c>
      <c r="N621" s="4" t="s">
        <v>3</v>
      </c>
      <c r="O621" s="4">
        <v>2</v>
      </c>
      <c r="P621" s="4"/>
      <c r="Q621" s="4"/>
      <c r="R621" s="4"/>
      <c r="S621" s="4"/>
      <c r="T621" s="4"/>
      <c r="U621" s="4"/>
      <c r="V621" s="4"/>
      <c r="W621" s="4"/>
    </row>
    <row r="622" spans="1:206" x14ac:dyDescent="0.2">
      <c r="A622" s="4">
        <v>50</v>
      </c>
      <c r="B622" s="4">
        <v>0</v>
      </c>
      <c r="C622" s="4">
        <v>0</v>
      </c>
      <c r="D622" s="4">
        <v>1</v>
      </c>
      <c r="E622" s="4">
        <v>203</v>
      </c>
      <c r="F622" s="4">
        <f>ROUND(Source!Q610,O622)</f>
        <v>68496.789999999994</v>
      </c>
      <c r="G622" s="4" t="s">
        <v>70</v>
      </c>
      <c r="H622" s="4" t="s">
        <v>71</v>
      </c>
      <c r="I622" s="4"/>
      <c r="J622" s="4"/>
      <c r="K622" s="4">
        <v>203</v>
      </c>
      <c r="L622" s="4">
        <v>11</v>
      </c>
      <c r="M622" s="4">
        <v>3</v>
      </c>
      <c r="N622" s="4" t="s">
        <v>3</v>
      </c>
      <c r="O622" s="4">
        <v>2</v>
      </c>
      <c r="P622" s="4"/>
      <c r="Q622" s="4"/>
      <c r="R622" s="4"/>
      <c r="S622" s="4"/>
      <c r="T622" s="4"/>
      <c r="U622" s="4"/>
      <c r="V622" s="4"/>
      <c r="W622" s="4"/>
    </row>
    <row r="623" spans="1:206" x14ac:dyDescent="0.2">
      <c r="A623" s="4">
        <v>50</v>
      </c>
      <c r="B623" s="4">
        <v>0</v>
      </c>
      <c r="C623" s="4">
        <v>0</v>
      </c>
      <c r="D623" s="4">
        <v>1</v>
      </c>
      <c r="E623" s="4">
        <v>231</v>
      </c>
      <c r="F623" s="4">
        <f>ROUND(Source!BB610,O623)</f>
        <v>0</v>
      </c>
      <c r="G623" s="4" t="s">
        <v>72</v>
      </c>
      <c r="H623" s="4" t="s">
        <v>73</v>
      </c>
      <c r="I623" s="4"/>
      <c r="J623" s="4"/>
      <c r="K623" s="4">
        <v>231</v>
      </c>
      <c r="L623" s="4">
        <v>12</v>
      </c>
      <c r="M623" s="4">
        <v>3</v>
      </c>
      <c r="N623" s="4" t="s">
        <v>3</v>
      </c>
      <c r="O623" s="4">
        <v>2</v>
      </c>
      <c r="P623" s="4"/>
      <c r="Q623" s="4"/>
      <c r="R623" s="4"/>
      <c r="S623" s="4"/>
      <c r="T623" s="4"/>
      <c r="U623" s="4"/>
      <c r="V623" s="4"/>
      <c r="W623" s="4"/>
    </row>
    <row r="624" spans="1:206" x14ac:dyDescent="0.2">
      <c r="A624" s="4">
        <v>50</v>
      </c>
      <c r="B624" s="4">
        <v>0</v>
      </c>
      <c r="C624" s="4">
        <v>0</v>
      </c>
      <c r="D624" s="4">
        <v>1</v>
      </c>
      <c r="E624" s="4">
        <v>204</v>
      </c>
      <c r="F624" s="4">
        <f>ROUND(Source!R610,O624)</f>
        <v>39371.230000000003</v>
      </c>
      <c r="G624" s="4" t="s">
        <v>74</v>
      </c>
      <c r="H624" s="4" t="s">
        <v>75</v>
      </c>
      <c r="I624" s="4"/>
      <c r="J624" s="4"/>
      <c r="K624" s="4">
        <v>204</v>
      </c>
      <c r="L624" s="4">
        <v>13</v>
      </c>
      <c r="M624" s="4">
        <v>3</v>
      </c>
      <c r="N624" s="4" t="s">
        <v>3</v>
      </c>
      <c r="O624" s="4">
        <v>2</v>
      </c>
      <c r="P624" s="4"/>
      <c r="Q624" s="4"/>
      <c r="R624" s="4"/>
      <c r="S624" s="4"/>
      <c r="T624" s="4"/>
      <c r="U624" s="4"/>
      <c r="V624" s="4"/>
      <c r="W624" s="4"/>
    </row>
    <row r="625" spans="1:206" x14ac:dyDescent="0.2">
      <c r="A625" s="4">
        <v>50</v>
      </c>
      <c r="B625" s="4">
        <v>0</v>
      </c>
      <c r="C625" s="4">
        <v>0</v>
      </c>
      <c r="D625" s="4">
        <v>1</v>
      </c>
      <c r="E625" s="4">
        <v>205</v>
      </c>
      <c r="F625" s="4">
        <f>ROUND(Source!S610,O625)</f>
        <v>74068.63</v>
      </c>
      <c r="G625" s="4" t="s">
        <v>76</v>
      </c>
      <c r="H625" s="4" t="s">
        <v>77</v>
      </c>
      <c r="I625" s="4"/>
      <c r="J625" s="4"/>
      <c r="K625" s="4">
        <v>205</v>
      </c>
      <c r="L625" s="4">
        <v>14</v>
      </c>
      <c r="M625" s="4">
        <v>3</v>
      </c>
      <c r="N625" s="4" t="s">
        <v>3</v>
      </c>
      <c r="O625" s="4">
        <v>2</v>
      </c>
      <c r="P625" s="4"/>
      <c r="Q625" s="4"/>
      <c r="R625" s="4"/>
      <c r="S625" s="4"/>
      <c r="T625" s="4"/>
      <c r="U625" s="4"/>
      <c r="V625" s="4"/>
      <c r="W625" s="4"/>
    </row>
    <row r="626" spans="1:206" x14ac:dyDescent="0.2">
      <c r="A626" s="4">
        <v>50</v>
      </c>
      <c r="B626" s="4">
        <v>0</v>
      </c>
      <c r="C626" s="4">
        <v>0</v>
      </c>
      <c r="D626" s="4">
        <v>1</v>
      </c>
      <c r="E626" s="4">
        <v>232</v>
      </c>
      <c r="F626" s="4">
        <f>ROUND(Source!BC610,O626)</f>
        <v>0</v>
      </c>
      <c r="G626" s="4" t="s">
        <v>78</v>
      </c>
      <c r="H626" s="4" t="s">
        <v>79</v>
      </c>
      <c r="I626" s="4"/>
      <c r="J626" s="4"/>
      <c r="K626" s="4">
        <v>232</v>
      </c>
      <c r="L626" s="4">
        <v>15</v>
      </c>
      <c r="M626" s="4">
        <v>3</v>
      </c>
      <c r="N626" s="4" t="s">
        <v>3</v>
      </c>
      <c r="O626" s="4">
        <v>2</v>
      </c>
      <c r="P626" s="4"/>
      <c r="Q626" s="4"/>
      <c r="R626" s="4"/>
      <c r="S626" s="4"/>
      <c r="T626" s="4"/>
      <c r="U626" s="4"/>
      <c r="V626" s="4"/>
      <c r="W626" s="4"/>
    </row>
    <row r="627" spans="1:206" x14ac:dyDescent="0.2">
      <c r="A627" s="4">
        <v>50</v>
      </c>
      <c r="B627" s="4">
        <v>0</v>
      </c>
      <c r="C627" s="4">
        <v>0</v>
      </c>
      <c r="D627" s="4">
        <v>1</v>
      </c>
      <c r="E627" s="4">
        <v>214</v>
      </c>
      <c r="F627" s="4">
        <f>ROUND(Source!AS610,O627)</f>
        <v>0</v>
      </c>
      <c r="G627" s="4" t="s">
        <v>80</v>
      </c>
      <c r="H627" s="4" t="s">
        <v>81</v>
      </c>
      <c r="I627" s="4"/>
      <c r="J627" s="4"/>
      <c r="K627" s="4">
        <v>214</v>
      </c>
      <c r="L627" s="4">
        <v>16</v>
      </c>
      <c r="M627" s="4">
        <v>3</v>
      </c>
      <c r="N627" s="4" t="s">
        <v>3</v>
      </c>
      <c r="O627" s="4">
        <v>2</v>
      </c>
      <c r="P627" s="4"/>
      <c r="Q627" s="4"/>
      <c r="R627" s="4"/>
      <c r="S627" s="4"/>
      <c r="T627" s="4"/>
      <c r="U627" s="4"/>
      <c r="V627" s="4"/>
      <c r="W627" s="4"/>
    </row>
    <row r="628" spans="1:206" x14ac:dyDescent="0.2">
      <c r="A628" s="4">
        <v>50</v>
      </c>
      <c r="B628" s="4">
        <v>0</v>
      </c>
      <c r="C628" s="4">
        <v>0</v>
      </c>
      <c r="D628" s="4">
        <v>1</v>
      </c>
      <c r="E628" s="4">
        <v>215</v>
      </c>
      <c r="F628" s="4">
        <f>ROUND(Source!AT610,O628)</f>
        <v>0</v>
      </c>
      <c r="G628" s="4" t="s">
        <v>82</v>
      </c>
      <c r="H628" s="4" t="s">
        <v>83</v>
      </c>
      <c r="I628" s="4"/>
      <c r="J628" s="4"/>
      <c r="K628" s="4">
        <v>215</v>
      </c>
      <c r="L628" s="4">
        <v>17</v>
      </c>
      <c r="M628" s="4">
        <v>3</v>
      </c>
      <c r="N628" s="4" t="s">
        <v>3</v>
      </c>
      <c r="O628" s="4">
        <v>2</v>
      </c>
      <c r="P628" s="4"/>
      <c r="Q628" s="4"/>
      <c r="R628" s="4"/>
      <c r="S628" s="4"/>
      <c r="T628" s="4"/>
      <c r="U628" s="4"/>
      <c r="V628" s="4"/>
      <c r="W628" s="4"/>
    </row>
    <row r="629" spans="1:206" x14ac:dyDescent="0.2">
      <c r="A629" s="4">
        <v>50</v>
      </c>
      <c r="B629" s="4">
        <v>0</v>
      </c>
      <c r="C629" s="4">
        <v>0</v>
      </c>
      <c r="D629" s="4">
        <v>1</v>
      </c>
      <c r="E629" s="4">
        <v>217</v>
      </c>
      <c r="F629" s="4">
        <f>ROUND(Source!AU610,O629)</f>
        <v>602582.68000000005</v>
      </c>
      <c r="G629" s="4" t="s">
        <v>84</v>
      </c>
      <c r="H629" s="4" t="s">
        <v>85</v>
      </c>
      <c r="I629" s="4"/>
      <c r="J629" s="4"/>
      <c r="K629" s="4">
        <v>217</v>
      </c>
      <c r="L629" s="4">
        <v>18</v>
      </c>
      <c r="M629" s="4">
        <v>3</v>
      </c>
      <c r="N629" s="4" t="s">
        <v>3</v>
      </c>
      <c r="O629" s="4">
        <v>2</v>
      </c>
      <c r="P629" s="4"/>
      <c r="Q629" s="4"/>
      <c r="R629" s="4"/>
      <c r="S629" s="4"/>
      <c r="T629" s="4"/>
      <c r="U629" s="4"/>
      <c r="V629" s="4"/>
      <c r="W629" s="4"/>
    </row>
    <row r="630" spans="1:206" x14ac:dyDescent="0.2">
      <c r="A630" s="4">
        <v>50</v>
      </c>
      <c r="B630" s="4">
        <v>0</v>
      </c>
      <c r="C630" s="4">
        <v>0</v>
      </c>
      <c r="D630" s="4">
        <v>1</v>
      </c>
      <c r="E630" s="4">
        <v>230</v>
      </c>
      <c r="F630" s="4">
        <f>ROUND(Source!BA610,O630)</f>
        <v>0</v>
      </c>
      <c r="G630" s="4" t="s">
        <v>86</v>
      </c>
      <c r="H630" s="4" t="s">
        <v>87</v>
      </c>
      <c r="I630" s="4"/>
      <c r="J630" s="4"/>
      <c r="K630" s="4">
        <v>230</v>
      </c>
      <c r="L630" s="4">
        <v>19</v>
      </c>
      <c r="M630" s="4">
        <v>3</v>
      </c>
      <c r="N630" s="4" t="s">
        <v>3</v>
      </c>
      <c r="O630" s="4">
        <v>2</v>
      </c>
      <c r="P630" s="4"/>
      <c r="Q630" s="4"/>
      <c r="R630" s="4"/>
      <c r="S630" s="4"/>
      <c r="T630" s="4"/>
      <c r="U630" s="4"/>
      <c r="V630" s="4"/>
      <c r="W630" s="4"/>
    </row>
    <row r="631" spans="1:206" x14ac:dyDescent="0.2">
      <c r="A631" s="4">
        <v>50</v>
      </c>
      <c r="B631" s="4">
        <v>0</v>
      </c>
      <c r="C631" s="4">
        <v>0</v>
      </c>
      <c r="D631" s="4">
        <v>1</v>
      </c>
      <c r="E631" s="4">
        <v>206</v>
      </c>
      <c r="F631" s="4">
        <f>ROUND(Source!T610,O631)</f>
        <v>0</v>
      </c>
      <c r="G631" s="4" t="s">
        <v>88</v>
      </c>
      <c r="H631" s="4" t="s">
        <v>89</v>
      </c>
      <c r="I631" s="4"/>
      <c r="J631" s="4"/>
      <c r="K631" s="4">
        <v>206</v>
      </c>
      <c r="L631" s="4">
        <v>20</v>
      </c>
      <c r="M631" s="4">
        <v>3</v>
      </c>
      <c r="N631" s="4" t="s">
        <v>3</v>
      </c>
      <c r="O631" s="4">
        <v>2</v>
      </c>
      <c r="P631" s="4"/>
      <c r="Q631" s="4"/>
      <c r="R631" s="4"/>
      <c r="S631" s="4"/>
      <c r="T631" s="4"/>
      <c r="U631" s="4"/>
      <c r="V631" s="4"/>
      <c r="W631" s="4"/>
    </row>
    <row r="632" spans="1:206" x14ac:dyDescent="0.2">
      <c r="A632" s="4">
        <v>50</v>
      </c>
      <c r="B632" s="4">
        <v>0</v>
      </c>
      <c r="C632" s="4">
        <v>0</v>
      </c>
      <c r="D632" s="4">
        <v>1</v>
      </c>
      <c r="E632" s="4">
        <v>207</v>
      </c>
      <c r="F632" s="4">
        <f>Source!U610</f>
        <v>363.24187499999999</v>
      </c>
      <c r="G632" s="4" t="s">
        <v>90</v>
      </c>
      <c r="H632" s="4" t="s">
        <v>91</v>
      </c>
      <c r="I632" s="4"/>
      <c r="J632" s="4"/>
      <c r="K632" s="4">
        <v>207</v>
      </c>
      <c r="L632" s="4">
        <v>21</v>
      </c>
      <c r="M632" s="4">
        <v>3</v>
      </c>
      <c r="N632" s="4" t="s">
        <v>3</v>
      </c>
      <c r="O632" s="4">
        <v>-1</v>
      </c>
      <c r="P632" s="4"/>
      <c r="Q632" s="4"/>
      <c r="R632" s="4"/>
      <c r="S632" s="4"/>
      <c r="T632" s="4"/>
      <c r="U632" s="4"/>
      <c r="V632" s="4"/>
      <c r="W632" s="4"/>
    </row>
    <row r="633" spans="1:206" x14ac:dyDescent="0.2">
      <c r="A633" s="4">
        <v>50</v>
      </c>
      <c r="B633" s="4">
        <v>0</v>
      </c>
      <c r="C633" s="4">
        <v>0</v>
      </c>
      <c r="D633" s="4">
        <v>1</v>
      </c>
      <c r="E633" s="4">
        <v>208</v>
      </c>
      <c r="F633" s="4">
        <f>Source!V610</f>
        <v>0</v>
      </c>
      <c r="G633" s="4" t="s">
        <v>92</v>
      </c>
      <c r="H633" s="4" t="s">
        <v>93</v>
      </c>
      <c r="I633" s="4"/>
      <c r="J633" s="4"/>
      <c r="K633" s="4">
        <v>208</v>
      </c>
      <c r="L633" s="4">
        <v>22</v>
      </c>
      <c r="M633" s="4">
        <v>3</v>
      </c>
      <c r="N633" s="4" t="s">
        <v>3</v>
      </c>
      <c r="O633" s="4">
        <v>-1</v>
      </c>
      <c r="P633" s="4"/>
      <c r="Q633" s="4"/>
      <c r="R633" s="4"/>
      <c r="S633" s="4"/>
      <c r="T633" s="4"/>
      <c r="U633" s="4"/>
      <c r="V633" s="4"/>
      <c r="W633" s="4"/>
    </row>
    <row r="634" spans="1:206" x14ac:dyDescent="0.2">
      <c r="A634" s="4">
        <v>50</v>
      </c>
      <c r="B634" s="4">
        <v>0</v>
      </c>
      <c r="C634" s="4">
        <v>0</v>
      </c>
      <c r="D634" s="4">
        <v>1</v>
      </c>
      <c r="E634" s="4">
        <v>209</v>
      </c>
      <c r="F634" s="4">
        <f>ROUND(Source!W610,O634)</f>
        <v>0</v>
      </c>
      <c r="G634" s="4" t="s">
        <v>94</v>
      </c>
      <c r="H634" s="4" t="s">
        <v>95</v>
      </c>
      <c r="I634" s="4"/>
      <c r="J634" s="4"/>
      <c r="K634" s="4">
        <v>209</v>
      </c>
      <c r="L634" s="4">
        <v>23</v>
      </c>
      <c r="M634" s="4">
        <v>3</v>
      </c>
      <c r="N634" s="4" t="s">
        <v>3</v>
      </c>
      <c r="O634" s="4">
        <v>2</v>
      </c>
      <c r="P634" s="4"/>
      <c r="Q634" s="4"/>
      <c r="R634" s="4"/>
      <c r="S634" s="4"/>
      <c r="T634" s="4"/>
      <c r="U634" s="4"/>
      <c r="V634" s="4"/>
      <c r="W634" s="4"/>
    </row>
    <row r="635" spans="1:206" x14ac:dyDescent="0.2">
      <c r="A635" s="4">
        <v>50</v>
      </c>
      <c r="B635" s="4">
        <v>0</v>
      </c>
      <c r="C635" s="4">
        <v>0</v>
      </c>
      <c r="D635" s="4">
        <v>1</v>
      </c>
      <c r="E635" s="4">
        <v>233</v>
      </c>
      <c r="F635" s="4">
        <f>ROUND(Source!BD610,O635)</f>
        <v>0</v>
      </c>
      <c r="G635" s="4" t="s">
        <v>96</v>
      </c>
      <c r="H635" s="4" t="s">
        <v>97</v>
      </c>
      <c r="I635" s="4"/>
      <c r="J635" s="4"/>
      <c r="K635" s="4">
        <v>233</v>
      </c>
      <c r="L635" s="4">
        <v>24</v>
      </c>
      <c r="M635" s="4">
        <v>3</v>
      </c>
      <c r="N635" s="4" t="s">
        <v>3</v>
      </c>
      <c r="O635" s="4">
        <v>2</v>
      </c>
      <c r="P635" s="4"/>
      <c r="Q635" s="4"/>
      <c r="R635" s="4"/>
      <c r="S635" s="4"/>
      <c r="T635" s="4"/>
      <c r="U635" s="4"/>
      <c r="V635" s="4"/>
      <c r="W635" s="4"/>
    </row>
    <row r="636" spans="1:206" x14ac:dyDescent="0.2">
      <c r="A636" s="4">
        <v>50</v>
      </c>
      <c r="B636" s="4">
        <v>0</v>
      </c>
      <c r="C636" s="4">
        <v>0</v>
      </c>
      <c r="D636" s="4">
        <v>1</v>
      </c>
      <c r="E636" s="4">
        <v>210</v>
      </c>
      <c r="F636" s="4">
        <f>ROUND(Source!X610,O636)</f>
        <v>51848.04</v>
      </c>
      <c r="G636" s="4" t="s">
        <v>98</v>
      </c>
      <c r="H636" s="4" t="s">
        <v>99</v>
      </c>
      <c r="I636" s="4"/>
      <c r="J636" s="4"/>
      <c r="K636" s="4">
        <v>210</v>
      </c>
      <c r="L636" s="4">
        <v>25</v>
      </c>
      <c r="M636" s="4">
        <v>3</v>
      </c>
      <c r="N636" s="4" t="s">
        <v>3</v>
      </c>
      <c r="O636" s="4">
        <v>2</v>
      </c>
      <c r="P636" s="4"/>
      <c r="Q636" s="4"/>
      <c r="R636" s="4"/>
      <c r="S636" s="4"/>
      <c r="T636" s="4"/>
      <c r="U636" s="4"/>
      <c r="V636" s="4"/>
      <c r="W636" s="4"/>
    </row>
    <row r="637" spans="1:206" x14ac:dyDescent="0.2">
      <c r="A637" s="4">
        <v>50</v>
      </c>
      <c r="B637" s="4">
        <v>0</v>
      </c>
      <c r="C637" s="4">
        <v>0</v>
      </c>
      <c r="D637" s="4">
        <v>1</v>
      </c>
      <c r="E637" s="4">
        <v>211</v>
      </c>
      <c r="F637" s="4">
        <f>ROUND(Source!Y610,O637)</f>
        <v>7406.87</v>
      </c>
      <c r="G637" s="4" t="s">
        <v>100</v>
      </c>
      <c r="H637" s="4" t="s">
        <v>101</v>
      </c>
      <c r="I637" s="4"/>
      <c r="J637" s="4"/>
      <c r="K637" s="4">
        <v>211</v>
      </c>
      <c r="L637" s="4">
        <v>26</v>
      </c>
      <c r="M637" s="4">
        <v>3</v>
      </c>
      <c r="N637" s="4" t="s">
        <v>3</v>
      </c>
      <c r="O637" s="4">
        <v>2</v>
      </c>
      <c r="P637" s="4"/>
      <c r="Q637" s="4"/>
      <c r="R637" s="4"/>
      <c r="S637" s="4"/>
      <c r="T637" s="4"/>
      <c r="U637" s="4"/>
      <c r="V637" s="4"/>
      <c r="W637" s="4"/>
    </row>
    <row r="638" spans="1:206" x14ac:dyDescent="0.2">
      <c r="A638" s="4">
        <v>50</v>
      </c>
      <c r="B638" s="4">
        <v>0</v>
      </c>
      <c r="C638" s="4">
        <v>0</v>
      </c>
      <c r="D638" s="4">
        <v>1</v>
      </c>
      <c r="E638" s="4">
        <v>224</v>
      </c>
      <c r="F638" s="4">
        <f>ROUND(Source!AR610,O638)</f>
        <v>602582.68000000005</v>
      </c>
      <c r="G638" s="4" t="s">
        <v>102</v>
      </c>
      <c r="H638" s="4" t="s">
        <v>103</v>
      </c>
      <c r="I638" s="4"/>
      <c r="J638" s="4"/>
      <c r="K638" s="4">
        <v>224</v>
      </c>
      <c r="L638" s="4">
        <v>27</v>
      </c>
      <c r="M638" s="4">
        <v>3</v>
      </c>
      <c r="N638" s="4" t="s">
        <v>3</v>
      </c>
      <c r="O638" s="4">
        <v>2</v>
      </c>
      <c r="P638" s="4"/>
      <c r="Q638" s="4"/>
      <c r="R638" s="4"/>
      <c r="S638" s="4"/>
      <c r="T638" s="4"/>
      <c r="U638" s="4"/>
      <c r="V638" s="4"/>
      <c r="W638" s="4"/>
    </row>
    <row r="640" spans="1:206" x14ac:dyDescent="0.2">
      <c r="A640" s="2">
        <v>51</v>
      </c>
      <c r="B640" s="2">
        <f>B598</f>
        <v>1</v>
      </c>
      <c r="C640" s="2">
        <f>A598</f>
        <v>4</v>
      </c>
      <c r="D640" s="2">
        <f>ROW(A598)</f>
        <v>598</v>
      </c>
      <c r="E640" s="2"/>
      <c r="F640" s="2" t="str">
        <f>IF(F598&lt;&gt;"",F598,"")</f>
        <v>Новый раздел</v>
      </c>
      <c r="G640" s="2" t="str">
        <f>IF(G598&lt;&gt;"",G598,"")</f>
        <v>Асфальт</v>
      </c>
      <c r="H640" s="2">
        <v>0</v>
      </c>
      <c r="I640" s="2"/>
      <c r="J640" s="2"/>
      <c r="K640" s="2"/>
      <c r="L640" s="2"/>
      <c r="M640" s="2"/>
      <c r="N640" s="2"/>
      <c r="O640" s="2">
        <f t="shared" ref="O640:T640" si="328">ROUND(O610+AB640,2)</f>
        <v>500806.84</v>
      </c>
      <c r="P640" s="2">
        <f t="shared" si="328"/>
        <v>358241.42</v>
      </c>
      <c r="Q640" s="2">
        <f t="shared" si="328"/>
        <v>68496.789999999994</v>
      </c>
      <c r="R640" s="2">
        <f t="shared" si="328"/>
        <v>39371.230000000003</v>
      </c>
      <c r="S640" s="2">
        <f t="shared" si="328"/>
        <v>74068.63</v>
      </c>
      <c r="T640" s="2">
        <f t="shared" si="328"/>
        <v>0</v>
      </c>
      <c r="U640" s="2">
        <f>U610+AH640</f>
        <v>363.24187499999999</v>
      </c>
      <c r="V640" s="2">
        <f>V610+AI640</f>
        <v>0</v>
      </c>
      <c r="W640" s="2">
        <f>ROUND(W610+AJ640,2)</f>
        <v>0</v>
      </c>
      <c r="X640" s="2">
        <f>ROUND(X610+AK640,2)</f>
        <v>51848.04</v>
      </c>
      <c r="Y640" s="2">
        <f>ROUND(Y610+AL640,2)</f>
        <v>7406.87</v>
      </c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>
        <f t="shared" ref="AO640:BD640" si="329">ROUND(AO610+BX640,2)</f>
        <v>0</v>
      </c>
      <c r="AP640" s="2">
        <f t="shared" si="329"/>
        <v>0</v>
      </c>
      <c r="AQ640" s="2">
        <f t="shared" si="329"/>
        <v>0</v>
      </c>
      <c r="AR640" s="2">
        <f t="shared" si="329"/>
        <v>602582.68000000005</v>
      </c>
      <c r="AS640" s="2">
        <f t="shared" si="329"/>
        <v>0</v>
      </c>
      <c r="AT640" s="2">
        <f t="shared" si="329"/>
        <v>0</v>
      </c>
      <c r="AU640" s="2">
        <f t="shared" si="329"/>
        <v>602582.68000000005</v>
      </c>
      <c r="AV640" s="2">
        <f t="shared" si="329"/>
        <v>358241.42</v>
      </c>
      <c r="AW640" s="2">
        <f t="shared" si="329"/>
        <v>358241.42</v>
      </c>
      <c r="AX640" s="2">
        <f t="shared" si="329"/>
        <v>0</v>
      </c>
      <c r="AY640" s="2">
        <f t="shared" si="329"/>
        <v>358241.42</v>
      </c>
      <c r="AZ640" s="2">
        <f t="shared" si="329"/>
        <v>0</v>
      </c>
      <c r="BA640" s="2">
        <f t="shared" si="329"/>
        <v>0</v>
      </c>
      <c r="BB640" s="2">
        <f t="shared" si="329"/>
        <v>0</v>
      </c>
      <c r="BC640" s="2">
        <f t="shared" si="329"/>
        <v>0</v>
      </c>
      <c r="BD640" s="2">
        <f t="shared" si="329"/>
        <v>0</v>
      </c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3"/>
      <c r="DH640" s="3"/>
      <c r="DI640" s="3"/>
      <c r="DJ640" s="3"/>
      <c r="DK640" s="3"/>
      <c r="DL640" s="3"/>
      <c r="DM640" s="3"/>
      <c r="DN640" s="3"/>
      <c r="DO640" s="3"/>
      <c r="DP640" s="3"/>
      <c r="DQ640" s="3"/>
      <c r="DR640" s="3"/>
      <c r="DS640" s="3"/>
      <c r="DT640" s="3"/>
      <c r="DU640" s="3"/>
      <c r="DV640" s="3"/>
      <c r="DW640" s="3"/>
      <c r="DX640" s="3"/>
      <c r="DY640" s="3"/>
      <c r="DZ640" s="3"/>
      <c r="EA640" s="3"/>
      <c r="EB640" s="3"/>
      <c r="EC640" s="3"/>
      <c r="ED640" s="3"/>
      <c r="EE640" s="3"/>
      <c r="EF640" s="3"/>
      <c r="EG640" s="3"/>
      <c r="EH640" s="3"/>
      <c r="EI640" s="3"/>
      <c r="EJ640" s="3"/>
      <c r="EK640" s="3"/>
      <c r="EL640" s="3"/>
      <c r="EM640" s="3"/>
      <c r="EN640" s="3"/>
      <c r="EO640" s="3"/>
      <c r="EP640" s="3"/>
      <c r="EQ640" s="3"/>
      <c r="ER640" s="3"/>
      <c r="ES640" s="3"/>
      <c r="ET640" s="3"/>
      <c r="EU640" s="3"/>
      <c r="EV640" s="3"/>
      <c r="EW640" s="3"/>
      <c r="EX640" s="3"/>
      <c r="EY640" s="3"/>
      <c r="EZ640" s="3"/>
      <c r="FA640" s="3"/>
      <c r="FB640" s="3"/>
      <c r="FC640" s="3"/>
      <c r="FD640" s="3"/>
      <c r="FE640" s="3"/>
      <c r="FF640" s="3"/>
      <c r="FG640" s="3"/>
      <c r="FH640" s="3"/>
      <c r="FI640" s="3"/>
      <c r="FJ640" s="3"/>
      <c r="FK640" s="3"/>
      <c r="FL640" s="3"/>
      <c r="FM640" s="3"/>
      <c r="FN640" s="3"/>
      <c r="FO640" s="3"/>
      <c r="FP640" s="3"/>
      <c r="FQ640" s="3"/>
      <c r="FR640" s="3"/>
      <c r="FS640" s="3"/>
      <c r="FT640" s="3"/>
      <c r="FU640" s="3"/>
      <c r="FV640" s="3"/>
      <c r="FW640" s="3"/>
      <c r="FX640" s="3"/>
      <c r="FY640" s="3"/>
      <c r="FZ640" s="3"/>
      <c r="GA640" s="3"/>
      <c r="GB640" s="3"/>
      <c r="GC640" s="3"/>
      <c r="GD640" s="3"/>
      <c r="GE640" s="3"/>
      <c r="GF640" s="3"/>
      <c r="GG640" s="3"/>
      <c r="GH640" s="3"/>
      <c r="GI640" s="3"/>
      <c r="GJ640" s="3"/>
      <c r="GK640" s="3"/>
      <c r="GL640" s="3"/>
      <c r="GM640" s="3"/>
      <c r="GN640" s="3"/>
      <c r="GO640" s="3"/>
      <c r="GP640" s="3"/>
      <c r="GQ640" s="3"/>
      <c r="GR640" s="3"/>
      <c r="GS640" s="3"/>
      <c r="GT640" s="3"/>
      <c r="GU640" s="3"/>
      <c r="GV640" s="3"/>
      <c r="GW640" s="3"/>
      <c r="GX640" s="3">
        <v>0</v>
      </c>
    </row>
    <row r="642" spans="1:23" x14ac:dyDescent="0.2">
      <c r="A642" s="4">
        <v>50</v>
      </c>
      <c r="B642" s="4">
        <v>0</v>
      </c>
      <c r="C642" s="4">
        <v>0</v>
      </c>
      <c r="D642" s="4">
        <v>1</v>
      </c>
      <c r="E642" s="4">
        <v>201</v>
      </c>
      <c r="F642" s="4">
        <f>ROUND(Source!O640,O642)</f>
        <v>500806.84</v>
      </c>
      <c r="G642" s="4" t="s">
        <v>50</v>
      </c>
      <c r="H642" s="4" t="s">
        <v>51</v>
      </c>
      <c r="I642" s="4"/>
      <c r="J642" s="4"/>
      <c r="K642" s="4">
        <v>201</v>
      </c>
      <c r="L642" s="4">
        <v>1</v>
      </c>
      <c r="M642" s="4">
        <v>3</v>
      </c>
      <c r="N642" s="4" t="s">
        <v>3</v>
      </c>
      <c r="O642" s="4">
        <v>2</v>
      </c>
      <c r="P642" s="4"/>
      <c r="Q642" s="4"/>
      <c r="R642" s="4"/>
      <c r="S642" s="4"/>
      <c r="T642" s="4"/>
      <c r="U642" s="4"/>
      <c r="V642" s="4"/>
      <c r="W642" s="4"/>
    </row>
    <row r="643" spans="1:23" x14ac:dyDescent="0.2">
      <c r="A643" s="4">
        <v>50</v>
      </c>
      <c r="B643" s="4">
        <v>0</v>
      </c>
      <c r="C643" s="4">
        <v>0</v>
      </c>
      <c r="D643" s="4">
        <v>1</v>
      </c>
      <c r="E643" s="4">
        <v>202</v>
      </c>
      <c r="F643" s="4">
        <f>ROUND(Source!P640,O643)</f>
        <v>358241.42</v>
      </c>
      <c r="G643" s="4" t="s">
        <v>52</v>
      </c>
      <c r="H643" s="4" t="s">
        <v>53</v>
      </c>
      <c r="I643" s="4"/>
      <c r="J643" s="4"/>
      <c r="K643" s="4">
        <v>202</v>
      </c>
      <c r="L643" s="4">
        <v>2</v>
      </c>
      <c r="M643" s="4">
        <v>3</v>
      </c>
      <c r="N643" s="4" t="s">
        <v>3</v>
      </c>
      <c r="O643" s="4">
        <v>2</v>
      </c>
      <c r="P643" s="4"/>
      <c r="Q643" s="4"/>
      <c r="R643" s="4"/>
      <c r="S643" s="4"/>
      <c r="T643" s="4"/>
      <c r="U643" s="4"/>
      <c r="V643" s="4"/>
      <c r="W643" s="4"/>
    </row>
    <row r="644" spans="1:23" x14ac:dyDescent="0.2">
      <c r="A644" s="4">
        <v>50</v>
      </c>
      <c r="B644" s="4">
        <v>0</v>
      </c>
      <c r="C644" s="4">
        <v>0</v>
      </c>
      <c r="D644" s="4">
        <v>1</v>
      </c>
      <c r="E644" s="4">
        <v>222</v>
      </c>
      <c r="F644" s="4">
        <f>ROUND(Source!AO640,O644)</f>
        <v>0</v>
      </c>
      <c r="G644" s="4" t="s">
        <v>54</v>
      </c>
      <c r="H644" s="4" t="s">
        <v>55</v>
      </c>
      <c r="I644" s="4"/>
      <c r="J644" s="4"/>
      <c r="K644" s="4">
        <v>222</v>
      </c>
      <c r="L644" s="4">
        <v>3</v>
      </c>
      <c r="M644" s="4">
        <v>3</v>
      </c>
      <c r="N644" s="4" t="s">
        <v>3</v>
      </c>
      <c r="O644" s="4">
        <v>2</v>
      </c>
      <c r="P644" s="4"/>
      <c r="Q644" s="4"/>
      <c r="R644" s="4"/>
      <c r="S644" s="4"/>
      <c r="T644" s="4"/>
      <c r="U644" s="4"/>
      <c r="V644" s="4"/>
      <c r="W644" s="4"/>
    </row>
    <row r="645" spans="1:23" x14ac:dyDescent="0.2">
      <c r="A645" s="4">
        <v>50</v>
      </c>
      <c r="B645" s="4">
        <v>0</v>
      </c>
      <c r="C645" s="4">
        <v>0</v>
      </c>
      <c r="D645" s="4">
        <v>1</v>
      </c>
      <c r="E645" s="4">
        <v>225</v>
      </c>
      <c r="F645" s="4">
        <f>ROUND(Source!AV640,O645)</f>
        <v>358241.42</v>
      </c>
      <c r="G645" s="4" t="s">
        <v>56</v>
      </c>
      <c r="H645" s="4" t="s">
        <v>57</v>
      </c>
      <c r="I645" s="4"/>
      <c r="J645" s="4"/>
      <c r="K645" s="4">
        <v>225</v>
      </c>
      <c r="L645" s="4">
        <v>4</v>
      </c>
      <c r="M645" s="4">
        <v>3</v>
      </c>
      <c r="N645" s="4" t="s">
        <v>3</v>
      </c>
      <c r="O645" s="4">
        <v>2</v>
      </c>
      <c r="P645" s="4"/>
      <c r="Q645" s="4"/>
      <c r="R645" s="4"/>
      <c r="S645" s="4"/>
      <c r="T645" s="4"/>
      <c r="U645" s="4"/>
      <c r="V645" s="4"/>
      <c r="W645" s="4"/>
    </row>
    <row r="646" spans="1:23" x14ac:dyDescent="0.2">
      <c r="A646" s="4">
        <v>50</v>
      </c>
      <c r="B646" s="4">
        <v>0</v>
      </c>
      <c r="C646" s="4">
        <v>0</v>
      </c>
      <c r="D646" s="4">
        <v>1</v>
      </c>
      <c r="E646" s="4">
        <v>226</v>
      </c>
      <c r="F646" s="4">
        <f>ROUND(Source!AW640,O646)</f>
        <v>358241.42</v>
      </c>
      <c r="G646" s="4" t="s">
        <v>58</v>
      </c>
      <c r="H646" s="4" t="s">
        <v>59</v>
      </c>
      <c r="I646" s="4"/>
      <c r="J646" s="4"/>
      <c r="K646" s="4">
        <v>226</v>
      </c>
      <c r="L646" s="4">
        <v>5</v>
      </c>
      <c r="M646" s="4">
        <v>3</v>
      </c>
      <c r="N646" s="4" t="s">
        <v>3</v>
      </c>
      <c r="O646" s="4">
        <v>2</v>
      </c>
      <c r="P646" s="4"/>
      <c r="Q646" s="4"/>
      <c r="R646" s="4"/>
      <c r="S646" s="4"/>
      <c r="T646" s="4"/>
      <c r="U646" s="4"/>
      <c r="V646" s="4"/>
      <c r="W646" s="4"/>
    </row>
    <row r="647" spans="1:23" x14ac:dyDescent="0.2">
      <c r="A647" s="4">
        <v>50</v>
      </c>
      <c r="B647" s="4">
        <v>0</v>
      </c>
      <c r="C647" s="4">
        <v>0</v>
      </c>
      <c r="D647" s="4">
        <v>1</v>
      </c>
      <c r="E647" s="4">
        <v>227</v>
      </c>
      <c r="F647" s="4">
        <f>ROUND(Source!AX640,O647)</f>
        <v>0</v>
      </c>
      <c r="G647" s="4" t="s">
        <v>60</v>
      </c>
      <c r="H647" s="4" t="s">
        <v>61</v>
      </c>
      <c r="I647" s="4"/>
      <c r="J647" s="4"/>
      <c r="K647" s="4">
        <v>227</v>
      </c>
      <c r="L647" s="4">
        <v>6</v>
      </c>
      <c r="M647" s="4">
        <v>3</v>
      </c>
      <c r="N647" s="4" t="s">
        <v>3</v>
      </c>
      <c r="O647" s="4">
        <v>2</v>
      </c>
      <c r="P647" s="4"/>
      <c r="Q647" s="4"/>
      <c r="R647" s="4"/>
      <c r="S647" s="4"/>
      <c r="T647" s="4"/>
      <c r="U647" s="4"/>
      <c r="V647" s="4"/>
      <c r="W647" s="4"/>
    </row>
    <row r="648" spans="1:23" x14ac:dyDescent="0.2">
      <c r="A648" s="4">
        <v>50</v>
      </c>
      <c r="B648" s="4">
        <v>0</v>
      </c>
      <c r="C648" s="4">
        <v>0</v>
      </c>
      <c r="D648" s="4">
        <v>1</v>
      </c>
      <c r="E648" s="4">
        <v>228</v>
      </c>
      <c r="F648" s="4">
        <f>ROUND(Source!AY640,O648)</f>
        <v>358241.42</v>
      </c>
      <c r="G648" s="4" t="s">
        <v>62</v>
      </c>
      <c r="H648" s="4" t="s">
        <v>63</v>
      </c>
      <c r="I648" s="4"/>
      <c r="J648" s="4"/>
      <c r="K648" s="4">
        <v>228</v>
      </c>
      <c r="L648" s="4">
        <v>7</v>
      </c>
      <c r="M648" s="4">
        <v>3</v>
      </c>
      <c r="N648" s="4" t="s">
        <v>3</v>
      </c>
      <c r="O648" s="4">
        <v>2</v>
      </c>
      <c r="P648" s="4"/>
      <c r="Q648" s="4"/>
      <c r="R648" s="4"/>
      <c r="S648" s="4"/>
      <c r="T648" s="4"/>
      <c r="U648" s="4"/>
      <c r="V648" s="4"/>
      <c r="W648" s="4"/>
    </row>
    <row r="649" spans="1:23" x14ac:dyDescent="0.2">
      <c r="A649" s="4">
        <v>50</v>
      </c>
      <c r="B649" s="4">
        <v>0</v>
      </c>
      <c r="C649" s="4">
        <v>0</v>
      </c>
      <c r="D649" s="4">
        <v>1</v>
      </c>
      <c r="E649" s="4">
        <v>216</v>
      </c>
      <c r="F649" s="4">
        <f>ROUND(Source!AP640,O649)</f>
        <v>0</v>
      </c>
      <c r="G649" s="4" t="s">
        <v>64</v>
      </c>
      <c r="H649" s="4" t="s">
        <v>65</v>
      </c>
      <c r="I649" s="4"/>
      <c r="J649" s="4"/>
      <c r="K649" s="4">
        <v>216</v>
      </c>
      <c r="L649" s="4">
        <v>8</v>
      </c>
      <c r="M649" s="4">
        <v>3</v>
      </c>
      <c r="N649" s="4" t="s">
        <v>3</v>
      </c>
      <c r="O649" s="4">
        <v>2</v>
      </c>
      <c r="P649" s="4"/>
      <c r="Q649" s="4"/>
      <c r="R649" s="4"/>
      <c r="S649" s="4"/>
      <c r="T649" s="4"/>
      <c r="U649" s="4"/>
      <c r="V649" s="4"/>
      <c r="W649" s="4"/>
    </row>
    <row r="650" spans="1:23" x14ac:dyDescent="0.2">
      <c r="A650" s="4">
        <v>50</v>
      </c>
      <c r="B650" s="4">
        <v>0</v>
      </c>
      <c r="C650" s="4">
        <v>0</v>
      </c>
      <c r="D650" s="4">
        <v>1</v>
      </c>
      <c r="E650" s="4">
        <v>223</v>
      </c>
      <c r="F650" s="4">
        <f>ROUND(Source!AQ640,O650)</f>
        <v>0</v>
      </c>
      <c r="G650" s="4" t="s">
        <v>66</v>
      </c>
      <c r="H650" s="4" t="s">
        <v>67</v>
      </c>
      <c r="I650" s="4"/>
      <c r="J650" s="4"/>
      <c r="K650" s="4">
        <v>223</v>
      </c>
      <c r="L650" s="4">
        <v>9</v>
      </c>
      <c r="M650" s="4">
        <v>3</v>
      </c>
      <c r="N650" s="4" t="s">
        <v>3</v>
      </c>
      <c r="O650" s="4">
        <v>2</v>
      </c>
      <c r="P650" s="4"/>
      <c r="Q650" s="4"/>
      <c r="R650" s="4"/>
      <c r="S650" s="4"/>
      <c r="T650" s="4"/>
      <c r="U650" s="4"/>
      <c r="V650" s="4"/>
      <c r="W650" s="4"/>
    </row>
    <row r="651" spans="1:23" x14ac:dyDescent="0.2">
      <c r="A651" s="4">
        <v>50</v>
      </c>
      <c r="B651" s="4">
        <v>0</v>
      </c>
      <c r="C651" s="4">
        <v>0</v>
      </c>
      <c r="D651" s="4">
        <v>1</v>
      </c>
      <c r="E651" s="4">
        <v>229</v>
      </c>
      <c r="F651" s="4">
        <f>ROUND(Source!AZ640,O651)</f>
        <v>0</v>
      </c>
      <c r="G651" s="4" t="s">
        <v>68</v>
      </c>
      <c r="H651" s="4" t="s">
        <v>69</v>
      </c>
      <c r="I651" s="4"/>
      <c r="J651" s="4"/>
      <c r="K651" s="4">
        <v>229</v>
      </c>
      <c r="L651" s="4">
        <v>10</v>
      </c>
      <c r="M651" s="4">
        <v>3</v>
      </c>
      <c r="N651" s="4" t="s">
        <v>3</v>
      </c>
      <c r="O651" s="4">
        <v>2</v>
      </c>
      <c r="P651" s="4"/>
      <c r="Q651" s="4"/>
      <c r="R651" s="4"/>
      <c r="S651" s="4"/>
      <c r="T651" s="4"/>
      <c r="U651" s="4"/>
      <c r="V651" s="4"/>
      <c r="W651" s="4"/>
    </row>
    <row r="652" spans="1:23" x14ac:dyDescent="0.2">
      <c r="A652" s="4">
        <v>50</v>
      </c>
      <c r="B652" s="4">
        <v>0</v>
      </c>
      <c r="C652" s="4">
        <v>0</v>
      </c>
      <c r="D652" s="4">
        <v>1</v>
      </c>
      <c r="E652" s="4">
        <v>203</v>
      </c>
      <c r="F652" s="4">
        <f>ROUND(Source!Q640,O652)</f>
        <v>68496.789999999994</v>
      </c>
      <c r="G652" s="4" t="s">
        <v>70</v>
      </c>
      <c r="H652" s="4" t="s">
        <v>71</v>
      </c>
      <c r="I652" s="4"/>
      <c r="J652" s="4"/>
      <c r="K652" s="4">
        <v>203</v>
      </c>
      <c r="L652" s="4">
        <v>11</v>
      </c>
      <c r="M652" s="4">
        <v>3</v>
      </c>
      <c r="N652" s="4" t="s">
        <v>3</v>
      </c>
      <c r="O652" s="4">
        <v>2</v>
      </c>
      <c r="P652" s="4"/>
      <c r="Q652" s="4"/>
      <c r="R652" s="4"/>
      <c r="S652" s="4"/>
      <c r="T652" s="4"/>
      <c r="U652" s="4"/>
      <c r="V652" s="4"/>
      <c r="W652" s="4"/>
    </row>
    <row r="653" spans="1:23" x14ac:dyDescent="0.2">
      <c r="A653" s="4">
        <v>50</v>
      </c>
      <c r="B653" s="4">
        <v>0</v>
      </c>
      <c r="C653" s="4">
        <v>0</v>
      </c>
      <c r="D653" s="4">
        <v>1</v>
      </c>
      <c r="E653" s="4">
        <v>231</v>
      </c>
      <c r="F653" s="4">
        <f>ROUND(Source!BB640,O653)</f>
        <v>0</v>
      </c>
      <c r="G653" s="4" t="s">
        <v>72</v>
      </c>
      <c r="H653" s="4" t="s">
        <v>73</v>
      </c>
      <c r="I653" s="4"/>
      <c r="J653" s="4"/>
      <c r="K653" s="4">
        <v>231</v>
      </c>
      <c r="L653" s="4">
        <v>12</v>
      </c>
      <c r="M653" s="4">
        <v>3</v>
      </c>
      <c r="N653" s="4" t="s">
        <v>3</v>
      </c>
      <c r="O653" s="4">
        <v>2</v>
      </c>
      <c r="P653" s="4"/>
      <c r="Q653" s="4"/>
      <c r="R653" s="4"/>
      <c r="S653" s="4"/>
      <c r="T653" s="4"/>
      <c r="U653" s="4"/>
      <c r="V653" s="4"/>
      <c r="W653" s="4"/>
    </row>
    <row r="654" spans="1:23" x14ac:dyDescent="0.2">
      <c r="A654" s="4">
        <v>50</v>
      </c>
      <c r="B654" s="4">
        <v>0</v>
      </c>
      <c r="C654" s="4">
        <v>0</v>
      </c>
      <c r="D654" s="4">
        <v>1</v>
      </c>
      <c r="E654" s="4">
        <v>204</v>
      </c>
      <c r="F654" s="4">
        <f>ROUND(Source!R640,O654)</f>
        <v>39371.230000000003</v>
      </c>
      <c r="G654" s="4" t="s">
        <v>74</v>
      </c>
      <c r="H654" s="4" t="s">
        <v>75</v>
      </c>
      <c r="I654" s="4"/>
      <c r="J654" s="4"/>
      <c r="K654" s="4">
        <v>204</v>
      </c>
      <c r="L654" s="4">
        <v>13</v>
      </c>
      <c r="M654" s="4">
        <v>3</v>
      </c>
      <c r="N654" s="4" t="s">
        <v>3</v>
      </c>
      <c r="O654" s="4">
        <v>2</v>
      </c>
      <c r="P654" s="4"/>
      <c r="Q654" s="4"/>
      <c r="R654" s="4"/>
      <c r="S654" s="4"/>
      <c r="T654" s="4"/>
      <c r="U654" s="4"/>
      <c r="V654" s="4"/>
      <c r="W654" s="4"/>
    </row>
    <row r="655" spans="1:23" x14ac:dyDescent="0.2">
      <c r="A655" s="4">
        <v>50</v>
      </c>
      <c r="B655" s="4">
        <v>0</v>
      </c>
      <c r="C655" s="4">
        <v>0</v>
      </c>
      <c r="D655" s="4">
        <v>1</v>
      </c>
      <c r="E655" s="4">
        <v>205</v>
      </c>
      <c r="F655" s="4">
        <f>ROUND(Source!S640,O655)</f>
        <v>74068.63</v>
      </c>
      <c r="G655" s="4" t="s">
        <v>76</v>
      </c>
      <c r="H655" s="4" t="s">
        <v>77</v>
      </c>
      <c r="I655" s="4"/>
      <c r="J655" s="4"/>
      <c r="K655" s="4">
        <v>205</v>
      </c>
      <c r="L655" s="4">
        <v>14</v>
      </c>
      <c r="M655" s="4">
        <v>3</v>
      </c>
      <c r="N655" s="4" t="s">
        <v>3</v>
      </c>
      <c r="O655" s="4">
        <v>2</v>
      </c>
      <c r="P655" s="4"/>
      <c r="Q655" s="4"/>
      <c r="R655" s="4"/>
      <c r="S655" s="4"/>
      <c r="T655" s="4"/>
      <c r="U655" s="4"/>
      <c r="V655" s="4"/>
      <c r="W655" s="4"/>
    </row>
    <row r="656" spans="1:23" x14ac:dyDescent="0.2">
      <c r="A656" s="4">
        <v>50</v>
      </c>
      <c r="B656" s="4">
        <v>0</v>
      </c>
      <c r="C656" s="4">
        <v>0</v>
      </c>
      <c r="D656" s="4">
        <v>1</v>
      </c>
      <c r="E656" s="4">
        <v>232</v>
      </c>
      <c r="F656" s="4">
        <f>ROUND(Source!BC640,O656)</f>
        <v>0</v>
      </c>
      <c r="G656" s="4" t="s">
        <v>78</v>
      </c>
      <c r="H656" s="4" t="s">
        <v>79</v>
      </c>
      <c r="I656" s="4"/>
      <c r="J656" s="4"/>
      <c r="K656" s="4">
        <v>232</v>
      </c>
      <c r="L656" s="4">
        <v>15</v>
      </c>
      <c r="M656" s="4">
        <v>3</v>
      </c>
      <c r="N656" s="4" t="s">
        <v>3</v>
      </c>
      <c r="O656" s="4">
        <v>2</v>
      </c>
      <c r="P656" s="4"/>
      <c r="Q656" s="4"/>
      <c r="R656" s="4"/>
      <c r="S656" s="4"/>
      <c r="T656" s="4"/>
      <c r="U656" s="4"/>
      <c r="V656" s="4"/>
      <c r="W656" s="4"/>
    </row>
    <row r="657" spans="1:206" x14ac:dyDescent="0.2">
      <c r="A657" s="4">
        <v>50</v>
      </c>
      <c r="B657" s="4">
        <v>0</v>
      </c>
      <c r="C657" s="4">
        <v>0</v>
      </c>
      <c r="D657" s="4">
        <v>1</v>
      </c>
      <c r="E657" s="4">
        <v>214</v>
      </c>
      <c r="F657" s="4">
        <f>ROUND(Source!AS640,O657)</f>
        <v>0</v>
      </c>
      <c r="G657" s="4" t="s">
        <v>80</v>
      </c>
      <c r="H657" s="4" t="s">
        <v>81</v>
      </c>
      <c r="I657" s="4"/>
      <c r="J657" s="4"/>
      <c r="K657" s="4">
        <v>214</v>
      </c>
      <c r="L657" s="4">
        <v>16</v>
      </c>
      <c r="M657" s="4">
        <v>3</v>
      </c>
      <c r="N657" s="4" t="s">
        <v>3</v>
      </c>
      <c r="O657" s="4">
        <v>2</v>
      </c>
      <c r="P657" s="4"/>
      <c r="Q657" s="4"/>
      <c r="R657" s="4"/>
      <c r="S657" s="4"/>
      <c r="T657" s="4"/>
      <c r="U657" s="4"/>
      <c r="V657" s="4"/>
      <c r="W657" s="4"/>
    </row>
    <row r="658" spans="1:206" x14ac:dyDescent="0.2">
      <c r="A658" s="4">
        <v>50</v>
      </c>
      <c r="B658" s="4">
        <v>0</v>
      </c>
      <c r="C658" s="4">
        <v>0</v>
      </c>
      <c r="D658" s="4">
        <v>1</v>
      </c>
      <c r="E658" s="4">
        <v>215</v>
      </c>
      <c r="F658" s="4">
        <f>ROUND(Source!AT640,O658)</f>
        <v>0</v>
      </c>
      <c r="G658" s="4" t="s">
        <v>82</v>
      </c>
      <c r="H658" s="4" t="s">
        <v>83</v>
      </c>
      <c r="I658" s="4"/>
      <c r="J658" s="4"/>
      <c r="K658" s="4">
        <v>215</v>
      </c>
      <c r="L658" s="4">
        <v>17</v>
      </c>
      <c r="M658" s="4">
        <v>3</v>
      </c>
      <c r="N658" s="4" t="s">
        <v>3</v>
      </c>
      <c r="O658" s="4">
        <v>2</v>
      </c>
      <c r="P658" s="4"/>
      <c r="Q658" s="4"/>
      <c r="R658" s="4"/>
      <c r="S658" s="4"/>
      <c r="T658" s="4"/>
      <c r="U658" s="4"/>
      <c r="V658" s="4"/>
      <c r="W658" s="4"/>
    </row>
    <row r="659" spans="1:206" x14ac:dyDescent="0.2">
      <c r="A659" s="4">
        <v>50</v>
      </c>
      <c r="B659" s="4">
        <v>0</v>
      </c>
      <c r="C659" s="4">
        <v>0</v>
      </c>
      <c r="D659" s="4">
        <v>1</v>
      </c>
      <c r="E659" s="4">
        <v>217</v>
      </c>
      <c r="F659" s="4">
        <f>ROUND(Source!AU640,O659)</f>
        <v>602582.68000000005</v>
      </c>
      <c r="G659" s="4" t="s">
        <v>84</v>
      </c>
      <c r="H659" s="4" t="s">
        <v>85</v>
      </c>
      <c r="I659" s="4"/>
      <c r="J659" s="4"/>
      <c r="K659" s="4">
        <v>217</v>
      </c>
      <c r="L659" s="4">
        <v>18</v>
      </c>
      <c r="M659" s="4">
        <v>3</v>
      </c>
      <c r="N659" s="4" t="s">
        <v>3</v>
      </c>
      <c r="O659" s="4">
        <v>2</v>
      </c>
      <c r="P659" s="4"/>
      <c r="Q659" s="4"/>
      <c r="R659" s="4"/>
      <c r="S659" s="4"/>
      <c r="T659" s="4"/>
      <c r="U659" s="4"/>
      <c r="V659" s="4"/>
      <c r="W659" s="4"/>
    </row>
    <row r="660" spans="1:206" x14ac:dyDescent="0.2">
      <c r="A660" s="4">
        <v>50</v>
      </c>
      <c r="B660" s="4">
        <v>0</v>
      </c>
      <c r="C660" s="4">
        <v>0</v>
      </c>
      <c r="D660" s="4">
        <v>1</v>
      </c>
      <c r="E660" s="4">
        <v>230</v>
      </c>
      <c r="F660" s="4">
        <f>ROUND(Source!BA640,O660)</f>
        <v>0</v>
      </c>
      <c r="G660" s="4" t="s">
        <v>86</v>
      </c>
      <c r="H660" s="4" t="s">
        <v>87</v>
      </c>
      <c r="I660" s="4"/>
      <c r="J660" s="4"/>
      <c r="K660" s="4">
        <v>230</v>
      </c>
      <c r="L660" s="4">
        <v>19</v>
      </c>
      <c r="M660" s="4">
        <v>3</v>
      </c>
      <c r="N660" s="4" t="s">
        <v>3</v>
      </c>
      <c r="O660" s="4">
        <v>2</v>
      </c>
      <c r="P660" s="4"/>
      <c r="Q660" s="4"/>
      <c r="R660" s="4"/>
      <c r="S660" s="4"/>
      <c r="T660" s="4"/>
      <c r="U660" s="4"/>
      <c r="V660" s="4"/>
      <c r="W660" s="4"/>
    </row>
    <row r="661" spans="1:206" x14ac:dyDescent="0.2">
      <c r="A661" s="4">
        <v>50</v>
      </c>
      <c r="B661" s="4">
        <v>0</v>
      </c>
      <c r="C661" s="4">
        <v>0</v>
      </c>
      <c r="D661" s="4">
        <v>1</v>
      </c>
      <c r="E661" s="4">
        <v>206</v>
      </c>
      <c r="F661" s="4">
        <f>ROUND(Source!T640,O661)</f>
        <v>0</v>
      </c>
      <c r="G661" s="4" t="s">
        <v>88</v>
      </c>
      <c r="H661" s="4" t="s">
        <v>89</v>
      </c>
      <c r="I661" s="4"/>
      <c r="J661" s="4"/>
      <c r="K661" s="4">
        <v>206</v>
      </c>
      <c r="L661" s="4">
        <v>20</v>
      </c>
      <c r="M661" s="4">
        <v>3</v>
      </c>
      <c r="N661" s="4" t="s">
        <v>3</v>
      </c>
      <c r="O661" s="4">
        <v>2</v>
      </c>
      <c r="P661" s="4"/>
      <c r="Q661" s="4"/>
      <c r="R661" s="4"/>
      <c r="S661" s="4"/>
      <c r="T661" s="4"/>
      <c r="U661" s="4"/>
      <c r="V661" s="4"/>
      <c r="W661" s="4"/>
    </row>
    <row r="662" spans="1:206" x14ac:dyDescent="0.2">
      <c r="A662" s="4">
        <v>50</v>
      </c>
      <c r="B662" s="4">
        <v>0</v>
      </c>
      <c r="C662" s="4">
        <v>0</v>
      </c>
      <c r="D662" s="4">
        <v>1</v>
      </c>
      <c r="E662" s="4">
        <v>207</v>
      </c>
      <c r="F662" s="4">
        <f>Source!U640</f>
        <v>363.24187499999999</v>
      </c>
      <c r="G662" s="4" t="s">
        <v>90</v>
      </c>
      <c r="H662" s="4" t="s">
        <v>91</v>
      </c>
      <c r="I662" s="4"/>
      <c r="J662" s="4"/>
      <c r="K662" s="4">
        <v>207</v>
      </c>
      <c r="L662" s="4">
        <v>21</v>
      </c>
      <c r="M662" s="4">
        <v>3</v>
      </c>
      <c r="N662" s="4" t="s">
        <v>3</v>
      </c>
      <c r="O662" s="4">
        <v>-1</v>
      </c>
      <c r="P662" s="4"/>
      <c r="Q662" s="4"/>
      <c r="R662" s="4"/>
      <c r="S662" s="4"/>
      <c r="T662" s="4"/>
      <c r="U662" s="4"/>
      <c r="V662" s="4"/>
      <c r="W662" s="4"/>
    </row>
    <row r="663" spans="1:206" x14ac:dyDescent="0.2">
      <c r="A663" s="4">
        <v>50</v>
      </c>
      <c r="B663" s="4">
        <v>0</v>
      </c>
      <c r="C663" s="4">
        <v>0</v>
      </c>
      <c r="D663" s="4">
        <v>1</v>
      </c>
      <c r="E663" s="4">
        <v>208</v>
      </c>
      <c r="F663" s="4">
        <f>Source!V640</f>
        <v>0</v>
      </c>
      <c r="G663" s="4" t="s">
        <v>92</v>
      </c>
      <c r="H663" s="4" t="s">
        <v>93</v>
      </c>
      <c r="I663" s="4"/>
      <c r="J663" s="4"/>
      <c r="K663" s="4">
        <v>208</v>
      </c>
      <c r="L663" s="4">
        <v>22</v>
      </c>
      <c r="M663" s="4">
        <v>3</v>
      </c>
      <c r="N663" s="4" t="s">
        <v>3</v>
      </c>
      <c r="O663" s="4">
        <v>-1</v>
      </c>
      <c r="P663" s="4"/>
      <c r="Q663" s="4"/>
      <c r="R663" s="4"/>
      <c r="S663" s="4"/>
      <c r="T663" s="4"/>
      <c r="U663" s="4"/>
      <c r="V663" s="4"/>
      <c r="W663" s="4"/>
    </row>
    <row r="664" spans="1:206" x14ac:dyDescent="0.2">
      <c r="A664" s="4">
        <v>50</v>
      </c>
      <c r="B664" s="4">
        <v>0</v>
      </c>
      <c r="C664" s="4">
        <v>0</v>
      </c>
      <c r="D664" s="4">
        <v>1</v>
      </c>
      <c r="E664" s="4">
        <v>209</v>
      </c>
      <c r="F664" s="4">
        <f>ROUND(Source!W640,O664)</f>
        <v>0</v>
      </c>
      <c r="G664" s="4" t="s">
        <v>94</v>
      </c>
      <c r="H664" s="4" t="s">
        <v>95</v>
      </c>
      <c r="I664" s="4"/>
      <c r="J664" s="4"/>
      <c r="K664" s="4">
        <v>209</v>
      </c>
      <c r="L664" s="4">
        <v>23</v>
      </c>
      <c r="M664" s="4">
        <v>3</v>
      </c>
      <c r="N664" s="4" t="s">
        <v>3</v>
      </c>
      <c r="O664" s="4">
        <v>2</v>
      </c>
      <c r="P664" s="4"/>
      <c r="Q664" s="4"/>
      <c r="R664" s="4"/>
      <c r="S664" s="4"/>
      <c r="T664" s="4"/>
      <c r="U664" s="4"/>
      <c r="V664" s="4"/>
      <c r="W664" s="4"/>
    </row>
    <row r="665" spans="1:206" x14ac:dyDescent="0.2">
      <c r="A665" s="4">
        <v>50</v>
      </c>
      <c r="B665" s="4">
        <v>0</v>
      </c>
      <c r="C665" s="4">
        <v>0</v>
      </c>
      <c r="D665" s="4">
        <v>1</v>
      </c>
      <c r="E665" s="4">
        <v>233</v>
      </c>
      <c r="F665" s="4">
        <f>ROUND(Source!BD640,O665)</f>
        <v>0</v>
      </c>
      <c r="G665" s="4" t="s">
        <v>96</v>
      </c>
      <c r="H665" s="4" t="s">
        <v>97</v>
      </c>
      <c r="I665" s="4"/>
      <c r="J665" s="4"/>
      <c r="K665" s="4">
        <v>233</v>
      </c>
      <c r="L665" s="4">
        <v>24</v>
      </c>
      <c r="M665" s="4">
        <v>3</v>
      </c>
      <c r="N665" s="4" t="s">
        <v>3</v>
      </c>
      <c r="O665" s="4">
        <v>2</v>
      </c>
      <c r="P665" s="4"/>
      <c r="Q665" s="4"/>
      <c r="R665" s="4"/>
      <c r="S665" s="4"/>
      <c r="T665" s="4"/>
      <c r="U665" s="4"/>
      <c r="V665" s="4"/>
      <c r="W665" s="4"/>
    </row>
    <row r="666" spans="1:206" x14ac:dyDescent="0.2">
      <c r="A666" s="4">
        <v>50</v>
      </c>
      <c r="B666" s="4">
        <v>0</v>
      </c>
      <c r="C666" s="4">
        <v>0</v>
      </c>
      <c r="D666" s="4">
        <v>1</v>
      </c>
      <c r="E666" s="4">
        <v>210</v>
      </c>
      <c r="F666" s="4">
        <f>ROUND(Source!X640,O666)</f>
        <v>51848.04</v>
      </c>
      <c r="G666" s="4" t="s">
        <v>98</v>
      </c>
      <c r="H666" s="4" t="s">
        <v>99</v>
      </c>
      <c r="I666" s="4"/>
      <c r="J666" s="4"/>
      <c r="K666" s="4">
        <v>210</v>
      </c>
      <c r="L666" s="4">
        <v>25</v>
      </c>
      <c r="M666" s="4">
        <v>3</v>
      </c>
      <c r="N666" s="4" t="s">
        <v>3</v>
      </c>
      <c r="O666" s="4">
        <v>2</v>
      </c>
      <c r="P666" s="4"/>
      <c r="Q666" s="4"/>
      <c r="R666" s="4"/>
      <c r="S666" s="4"/>
      <c r="T666" s="4"/>
      <c r="U666" s="4"/>
      <c r="V666" s="4"/>
      <c r="W666" s="4"/>
    </row>
    <row r="667" spans="1:206" x14ac:dyDescent="0.2">
      <c r="A667" s="4">
        <v>50</v>
      </c>
      <c r="B667" s="4">
        <v>0</v>
      </c>
      <c r="C667" s="4">
        <v>0</v>
      </c>
      <c r="D667" s="4">
        <v>1</v>
      </c>
      <c r="E667" s="4">
        <v>211</v>
      </c>
      <c r="F667" s="4">
        <f>ROUND(Source!Y640,O667)</f>
        <v>7406.87</v>
      </c>
      <c r="G667" s="4" t="s">
        <v>100</v>
      </c>
      <c r="H667" s="4" t="s">
        <v>101</v>
      </c>
      <c r="I667" s="4"/>
      <c r="J667" s="4"/>
      <c r="K667" s="4">
        <v>211</v>
      </c>
      <c r="L667" s="4">
        <v>26</v>
      </c>
      <c r="M667" s="4">
        <v>3</v>
      </c>
      <c r="N667" s="4" t="s">
        <v>3</v>
      </c>
      <c r="O667" s="4">
        <v>2</v>
      </c>
      <c r="P667" s="4"/>
      <c r="Q667" s="4"/>
      <c r="R667" s="4"/>
      <c r="S667" s="4"/>
      <c r="T667" s="4"/>
      <c r="U667" s="4"/>
      <c r="V667" s="4"/>
      <c r="W667" s="4"/>
    </row>
    <row r="668" spans="1:206" x14ac:dyDescent="0.2">
      <c r="A668" s="4">
        <v>50</v>
      </c>
      <c r="B668" s="4">
        <v>0</v>
      </c>
      <c r="C668" s="4">
        <v>0</v>
      </c>
      <c r="D668" s="4">
        <v>1</v>
      </c>
      <c r="E668" s="4">
        <v>224</v>
      </c>
      <c r="F668" s="4">
        <f>ROUND(Source!AR640,O668)</f>
        <v>602582.68000000005</v>
      </c>
      <c r="G668" s="4" t="s">
        <v>102</v>
      </c>
      <c r="H668" s="4" t="s">
        <v>103</v>
      </c>
      <c r="I668" s="4"/>
      <c r="J668" s="4"/>
      <c r="K668" s="4">
        <v>224</v>
      </c>
      <c r="L668" s="4">
        <v>27</v>
      </c>
      <c r="M668" s="4">
        <v>3</v>
      </c>
      <c r="N668" s="4" t="s">
        <v>3</v>
      </c>
      <c r="O668" s="4">
        <v>2</v>
      </c>
      <c r="P668" s="4"/>
      <c r="Q668" s="4"/>
      <c r="R668" s="4"/>
      <c r="S668" s="4"/>
      <c r="T668" s="4"/>
      <c r="U668" s="4"/>
      <c r="V668" s="4"/>
      <c r="W668" s="4"/>
    </row>
    <row r="670" spans="1:206" x14ac:dyDescent="0.2">
      <c r="A670" s="1">
        <v>4</v>
      </c>
      <c r="B670" s="1">
        <v>1</v>
      </c>
      <c r="C670" s="1"/>
      <c r="D670" s="1">
        <f>ROW(A674)</f>
        <v>674</v>
      </c>
      <c r="E670" s="1"/>
      <c r="F670" s="1" t="s">
        <v>12</v>
      </c>
      <c r="G670" s="1" t="s">
        <v>341</v>
      </c>
      <c r="H670" s="1" t="s">
        <v>3</v>
      </c>
      <c r="I670" s="1">
        <v>0</v>
      </c>
      <c r="J670" s="1"/>
      <c r="K670" s="1">
        <v>0</v>
      </c>
      <c r="L670" s="1"/>
      <c r="M670" s="1"/>
      <c r="N670" s="1"/>
      <c r="O670" s="1"/>
      <c r="P670" s="1"/>
      <c r="Q670" s="1"/>
      <c r="R670" s="1"/>
      <c r="S670" s="1"/>
      <c r="T670" s="1"/>
      <c r="U670" s="1" t="s">
        <v>3</v>
      </c>
      <c r="V670" s="1">
        <v>0</v>
      </c>
      <c r="W670" s="1"/>
      <c r="X670" s="1"/>
      <c r="Y670" s="1"/>
      <c r="Z670" s="1"/>
      <c r="AA670" s="1"/>
      <c r="AB670" s="1" t="s">
        <v>3</v>
      </c>
      <c r="AC670" s="1" t="s">
        <v>3</v>
      </c>
      <c r="AD670" s="1" t="s">
        <v>3</v>
      </c>
      <c r="AE670" s="1" t="s">
        <v>3</v>
      </c>
      <c r="AF670" s="1" t="s">
        <v>3</v>
      </c>
      <c r="AG670" s="1" t="s">
        <v>3</v>
      </c>
      <c r="AH670" s="1"/>
      <c r="AI670" s="1"/>
      <c r="AJ670" s="1"/>
      <c r="AK670" s="1"/>
      <c r="AL670" s="1"/>
      <c r="AM670" s="1"/>
      <c r="AN670" s="1"/>
      <c r="AO670" s="1"/>
      <c r="AP670" s="1" t="s">
        <v>3</v>
      </c>
      <c r="AQ670" s="1" t="s">
        <v>3</v>
      </c>
      <c r="AR670" s="1" t="s">
        <v>3</v>
      </c>
      <c r="AS670" s="1"/>
      <c r="AT670" s="1"/>
      <c r="AU670" s="1"/>
      <c r="AV670" s="1"/>
      <c r="AW670" s="1"/>
      <c r="AX670" s="1"/>
      <c r="AY670" s="1"/>
      <c r="AZ670" s="1" t="s">
        <v>3</v>
      </c>
      <c r="BA670" s="1"/>
      <c r="BB670" s="1" t="s">
        <v>3</v>
      </c>
      <c r="BC670" s="1" t="s">
        <v>3</v>
      </c>
      <c r="BD670" s="1" t="s">
        <v>3</v>
      </c>
      <c r="BE670" s="1" t="s">
        <v>3</v>
      </c>
      <c r="BF670" s="1" t="s">
        <v>3</v>
      </c>
      <c r="BG670" s="1" t="s">
        <v>3</v>
      </c>
      <c r="BH670" s="1" t="s">
        <v>3</v>
      </c>
      <c r="BI670" s="1" t="s">
        <v>3</v>
      </c>
      <c r="BJ670" s="1" t="s">
        <v>3</v>
      </c>
      <c r="BK670" s="1" t="s">
        <v>3</v>
      </c>
      <c r="BL670" s="1" t="s">
        <v>3</v>
      </c>
      <c r="BM670" s="1" t="s">
        <v>3</v>
      </c>
      <c r="BN670" s="1" t="s">
        <v>3</v>
      </c>
      <c r="BO670" s="1" t="s">
        <v>3</v>
      </c>
      <c r="BP670" s="1" t="s">
        <v>3</v>
      </c>
      <c r="BQ670" s="1"/>
      <c r="BR670" s="1"/>
      <c r="BS670" s="1"/>
      <c r="BT670" s="1"/>
      <c r="BU670" s="1"/>
      <c r="BV670" s="1"/>
      <c r="BW670" s="1"/>
      <c r="BX670" s="1">
        <v>0</v>
      </c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>
        <v>0</v>
      </c>
    </row>
    <row r="672" spans="1:206" x14ac:dyDescent="0.2">
      <c r="A672" s="2">
        <v>52</v>
      </c>
      <c r="B672" s="2">
        <f t="shared" ref="B672:G672" si="330">B674</f>
        <v>1</v>
      </c>
      <c r="C672" s="2">
        <f t="shared" si="330"/>
        <v>4</v>
      </c>
      <c r="D672" s="2">
        <f t="shared" si="330"/>
        <v>670</v>
      </c>
      <c r="E672" s="2">
        <f t="shared" si="330"/>
        <v>0</v>
      </c>
      <c r="F672" s="2" t="str">
        <f t="shared" si="330"/>
        <v>Новый раздел</v>
      </c>
      <c r="G672" s="2" t="str">
        <f t="shared" si="330"/>
        <v>Хавская ул., д. 15 стр. 1-2</v>
      </c>
      <c r="H672" s="2"/>
      <c r="I672" s="2"/>
      <c r="J672" s="2"/>
      <c r="K672" s="2"/>
      <c r="L672" s="2"/>
      <c r="M672" s="2"/>
      <c r="N672" s="2"/>
      <c r="O672" s="2">
        <f t="shared" ref="O672:AT672" si="331">O674</f>
        <v>0</v>
      </c>
      <c r="P672" s="2">
        <f t="shared" si="331"/>
        <v>0</v>
      </c>
      <c r="Q672" s="2">
        <f t="shared" si="331"/>
        <v>0</v>
      </c>
      <c r="R672" s="2">
        <f t="shared" si="331"/>
        <v>0</v>
      </c>
      <c r="S672" s="2">
        <f t="shared" si="331"/>
        <v>0</v>
      </c>
      <c r="T672" s="2">
        <f t="shared" si="331"/>
        <v>0</v>
      </c>
      <c r="U672" s="2">
        <f t="shared" si="331"/>
        <v>0</v>
      </c>
      <c r="V672" s="2">
        <f t="shared" si="331"/>
        <v>0</v>
      </c>
      <c r="W672" s="2">
        <f t="shared" si="331"/>
        <v>0</v>
      </c>
      <c r="X672" s="2">
        <f t="shared" si="331"/>
        <v>0</v>
      </c>
      <c r="Y672" s="2">
        <f t="shared" si="331"/>
        <v>0</v>
      </c>
      <c r="Z672" s="2">
        <f t="shared" si="331"/>
        <v>0</v>
      </c>
      <c r="AA672" s="2">
        <f t="shared" si="331"/>
        <v>0</v>
      </c>
      <c r="AB672" s="2">
        <f t="shared" si="331"/>
        <v>0</v>
      </c>
      <c r="AC672" s="2">
        <f t="shared" si="331"/>
        <v>0</v>
      </c>
      <c r="AD672" s="2">
        <f t="shared" si="331"/>
        <v>0</v>
      </c>
      <c r="AE672" s="2">
        <f t="shared" si="331"/>
        <v>0</v>
      </c>
      <c r="AF672" s="2">
        <f t="shared" si="331"/>
        <v>0</v>
      </c>
      <c r="AG672" s="2">
        <f t="shared" si="331"/>
        <v>0</v>
      </c>
      <c r="AH672" s="2">
        <f t="shared" si="331"/>
        <v>0</v>
      </c>
      <c r="AI672" s="2">
        <f t="shared" si="331"/>
        <v>0</v>
      </c>
      <c r="AJ672" s="2">
        <f t="shared" si="331"/>
        <v>0</v>
      </c>
      <c r="AK672" s="2">
        <f t="shared" si="331"/>
        <v>0</v>
      </c>
      <c r="AL672" s="2">
        <f t="shared" si="331"/>
        <v>0</v>
      </c>
      <c r="AM672" s="2">
        <f t="shared" si="331"/>
        <v>0</v>
      </c>
      <c r="AN672" s="2">
        <f t="shared" si="331"/>
        <v>0</v>
      </c>
      <c r="AO672" s="2">
        <f t="shared" si="331"/>
        <v>0</v>
      </c>
      <c r="AP672" s="2">
        <f t="shared" si="331"/>
        <v>0</v>
      </c>
      <c r="AQ672" s="2">
        <f t="shared" si="331"/>
        <v>0</v>
      </c>
      <c r="AR672" s="2">
        <f t="shared" si="331"/>
        <v>0</v>
      </c>
      <c r="AS672" s="2">
        <f t="shared" si="331"/>
        <v>0</v>
      </c>
      <c r="AT672" s="2">
        <f t="shared" si="331"/>
        <v>0</v>
      </c>
      <c r="AU672" s="2">
        <f t="shared" ref="AU672:BZ672" si="332">AU674</f>
        <v>0</v>
      </c>
      <c r="AV672" s="2">
        <f t="shared" si="332"/>
        <v>0</v>
      </c>
      <c r="AW672" s="2">
        <f t="shared" si="332"/>
        <v>0</v>
      </c>
      <c r="AX672" s="2">
        <f t="shared" si="332"/>
        <v>0</v>
      </c>
      <c r="AY672" s="2">
        <f t="shared" si="332"/>
        <v>0</v>
      </c>
      <c r="AZ672" s="2">
        <f t="shared" si="332"/>
        <v>0</v>
      </c>
      <c r="BA672" s="2">
        <f t="shared" si="332"/>
        <v>0</v>
      </c>
      <c r="BB672" s="2">
        <f t="shared" si="332"/>
        <v>0</v>
      </c>
      <c r="BC672" s="2">
        <f t="shared" si="332"/>
        <v>0</v>
      </c>
      <c r="BD672" s="2">
        <f t="shared" si="332"/>
        <v>0</v>
      </c>
      <c r="BE672" s="2">
        <f t="shared" si="332"/>
        <v>0</v>
      </c>
      <c r="BF672" s="2">
        <f t="shared" si="332"/>
        <v>0</v>
      </c>
      <c r="BG672" s="2">
        <f t="shared" si="332"/>
        <v>0</v>
      </c>
      <c r="BH672" s="2">
        <f t="shared" si="332"/>
        <v>0</v>
      </c>
      <c r="BI672" s="2">
        <f t="shared" si="332"/>
        <v>0</v>
      </c>
      <c r="BJ672" s="2">
        <f t="shared" si="332"/>
        <v>0</v>
      </c>
      <c r="BK672" s="2">
        <f t="shared" si="332"/>
        <v>0</v>
      </c>
      <c r="BL672" s="2">
        <f t="shared" si="332"/>
        <v>0</v>
      </c>
      <c r="BM672" s="2">
        <f t="shared" si="332"/>
        <v>0</v>
      </c>
      <c r="BN672" s="2">
        <f t="shared" si="332"/>
        <v>0</v>
      </c>
      <c r="BO672" s="2">
        <f t="shared" si="332"/>
        <v>0</v>
      </c>
      <c r="BP672" s="2">
        <f t="shared" si="332"/>
        <v>0</v>
      </c>
      <c r="BQ672" s="2">
        <f t="shared" si="332"/>
        <v>0</v>
      </c>
      <c r="BR672" s="2">
        <f t="shared" si="332"/>
        <v>0</v>
      </c>
      <c r="BS672" s="2">
        <f t="shared" si="332"/>
        <v>0</v>
      </c>
      <c r="BT672" s="2">
        <f t="shared" si="332"/>
        <v>0</v>
      </c>
      <c r="BU672" s="2">
        <f t="shared" si="332"/>
        <v>0</v>
      </c>
      <c r="BV672" s="2">
        <f t="shared" si="332"/>
        <v>0</v>
      </c>
      <c r="BW672" s="2">
        <f t="shared" si="332"/>
        <v>0</v>
      </c>
      <c r="BX672" s="2">
        <f t="shared" si="332"/>
        <v>0</v>
      </c>
      <c r="BY672" s="2">
        <f t="shared" si="332"/>
        <v>0</v>
      </c>
      <c r="BZ672" s="2">
        <f t="shared" si="332"/>
        <v>0</v>
      </c>
      <c r="CA672" s="2">
        <f t="shared" ref="CA672:DF672" si="333">CA674</f>
        <v>0</v>
      </c>
      <c r="CB672" s="2">
        <f t="shared" si="333"/>
        <v>0</v>
      </c>
      <c r="CC672" s="2">
        <f t="shared" si="333"/>
        <v>0</v>
      </c>
      <c r="CD672" s="2">
        <f t="shared" si="333"/>
        <v>0</v>
      </c>
      <c r="CE672" s="2">
        <f t="shared" si="333"/>
        <v>0</v>
      </c>
      <c r="CF672" s="2">
        <f t="shared" si="333"/>
        <v>0</v>
      </c>
      <c r="CG672" s="2">
        <f t="shared" si="333"/>
        <v>0</v>
      </c>
      <c r="CH672" s="2">
        <f t="shared" si="333"/>
        <v>0</v>
      </c>
      <c r="CI672" s="2">
        <f t="shared" si="333"/>
        <v>0</v>
      </c>
      <c r="CJ672" s="2">
        <f t="shared" si="333"/>
        <v>0</v>
      </c>
      <c r="CK672" s="2">
        <f t="shared" si="333"/>
        <v>0</v>
      </c>
      <c r="CL672" s="2">
        <f t="shared" si="333"/>
        <v>0</v>
      </c>
      <c r="CM672" s="2">
        <f t="shared" si="333"/>
        <v>0</v>
      </c>
      <c r="CN672" s="2">
        <f t="shared" si="333"/>
        <v>0</v>
      </c>
      <c r="CO672" s="2">
        <f t="shared" si="333"/>
        <v>0</v>
      </c>
      <c r="CP672" s="2">
        <f t="shared" si="333"/>
        <v>0</v>
      </c>
      <c r="CQ672" s="2">
        <f t="shared" si="333"/>
        <v>0</v>
      </c>
      <c r="CR672" s="2">
        <f t="shared" si="333"/>
        <v>0</v>
      </c>
      <c r="CS672" s="2">
        <f t="shared" si="333"/>
        <v>0</v>
      </c>
      <c r="CT672" s="2">
        <f t="shared" si="333"/>
        <v>0</v>
      </c>
      <c r="CU672" s="2">
        <f t="shared" si="333"/>
        <v>0</v>
      </c>
      <c r="CV672" s="2">
        <f t="shared" si="333"/>
        <v>0</v>
      </c>
      <c r="CW672" s="2">
        <f t="shared" si="333"/>
        <v>0</v>
      </c>
      <c r="CX672" s="2">
        <f t="shared" si="333"/>
        <v>0</v>
      </c>
      <c r="CY672" s="2">
        <f t="shared" si="333"/>
        <v>0</v>
      </c>
      <c r="CZ672" s="2">
        <f t="shared" si="333"/>
        <v>0</v>
      </c>
      <c r="DA672" s="2">
        <f t="shared" si="333"/>
        <v>0</v>
      </c>
      <c r="DB672" s="2">
        <f t="shared" si="333"/>
        <v>0</v>
      </c>
      <c r="DC672" s="2">
        <f t="shared" si="333"/>
        <v>0</v>
      </c>
      <c r="DD672" s="2">
        <f t="shared" si="333"/>
        <v>0</v>
      </c>
      <c r="DE672" s="2">
        <f t="shared" si="333"/>
        <v>0</v>
      </c>
      <c r="DF672" s="2">
        <f t="shared" si="333"/>
        <v>0</v>
      </c>
      <c r="DG672" s="3">
        <f t="shared" ref="DG672:EL672" si="334">DG674</f>
        <v>0</v>
      </c>
      <c r="DH672" s="3">
        <f t="shared" si="334"/>
        <v>0</v>
      </c>
      <c r="DI672" s="3">
        <f t="shared" si="334"/>
        <v>0</v>
      </c>
      <c r="DJ672" s="3">
        <f t="shared" si="334"/>
        <v>0</v>
      </c>
      <c r="DK672" s="3">
        <f t="shared" si="334"/>
        <v>0</v>
      </c>
      <c r="DL672" s="3">
        <f t="shared" si="334"/>
        <v>0</v>
      </c>
      <c r="DM672" s="3">
        <f t="shared" si="334"/>
        <v>0</v>
      </c>
      <c r="DN672" s="3">
        <f t="shared" si="334"/>
        <v>0</v>
      </c>
      <c r="DO672" s="3">
        <f t="shared" si="334"/>
        <v>0</v>
      </c>
      <c r="DP672" s="3">
        <f t="shared" si="334"/>
        <v>0</v>
      </c>
      <c r="DQ672" s="3">
        <f t="shared" si="334"/>
        <v>0</v>
      </c>
      <c r="DR672" s="3">
        <f t="shared" si="334"/>
        <v>0</v>
      </c>
      <c r="DS672" s="3">
        <f t="shared" si="334"/>
        <v>0</v>
      </c>
      <c r="DT672" s="3">
        <f t="shared" si="334"/>
        <v>0</v>
      </c>
      <c r="DU672" s="3">
        <f t="shared" si="334"/>
        <v>0</v>
      </c>
      <c r="DV672" s="3">
        <f t="shared" si="334"/>
        <v>0</v>
      </c>
      <c r="DW672" s="3">
        <f t="shared" si="334"/>
        <v>0</v>
      </c>
      <c r="DX672" s="3">
        <f t="shared" si="334"/>
        <v>0</v>
      </c>
      <c r="DY672" s="3">
        <f t="shared" si="334"/>
        <v>0</v>
      </c>
      <c r="DZ672" s="3">
        <f t="shared" si="334"/>
        <v>0</v>
      </c>
      <c r="EA672" s="3">
        <f t="shared" si="334"/>
        <v>0</v>
      </c>
      <c r="EB672" s="3">
        <f t="shared" si="334"/>
        <v>0</v>
      </c>
      <c r="EC672" s="3">
        <f t="shared" si="334"/>
        <v>0</v>
      </c>
      <c r="ED672" s="3">
        <f t="shared" si="334"/>
        <v>0</v>
      </c>
      <c r="EE672" s="3">
        <f t="shared" si="334"/>
        <v>0</v>
      </c>
      <c r="EF672" s="3">
        <f t="shared" si="334"/>
        <v>0</v>
      </c>
      <c r="EG672" s="3">
        <f t="shared" si="334"/>
        <v>0</v>
      </c>
      <c r="EH672" s="3">
        <f t="shared" si="334"/>
        <v>0</v>
      </c>
      <c r="EI672" s="3">
        <f t="shared" si="334"/>
        <v>0</v>
      </c>
      <c r="EJ672" s="3">
        <f t="shared" si="334"/>
        <v>0</v>
      </c>
      <c r="EK672" s="3">
        <f t="shared" si="334"/>
        <v>0</v>
      </c>
      <c r="EL672" s="3">
        <f t="shared" si="334"/>
        <v>0</v>
      </c>
      <c r="EM672" s="3">
        <f t="shared" ref="EM672:FR672" si="335">EM674</f>
        <v>0</v>
      </c>
      <c r="EN672" s="3">
        <f t="shared" si="335"/>
        <v>0</v>
      </c>
      <c r="EO672" s="3">
        <f t="shared" si="335"/>
        <v>0</v>
      </c>
      <c r="EP672" s="3">
        <f t="shared" si="335"/>
        <v>0</v>
      </c>
      <c r="EQ672" s="3">
        <f t="shared" si="335"/>
        <v>0</v>
      </c>
      <c r="ER672" s="3">
        <f t="shared" si="335"/>
        <v>0</v>
      </c>
      <c r="ES672" s="3">
        <f t="shared" si="335"/>
        <v>0</v>
      </c>
      <c r="ET672" s="3">
        <f t="shared" si="335"/>
        <v>0</v>
      </c>
      <c r="EU672" s="3">
        <f t="shared" si="335"/>
        <v>0</v>
      </c>
      <c r="EV672" s="3">
        <f t="shared" si="335"/>
        <v>0</v>
      </c>
      <c r="EW672" s="3">
        <f t="shared" si="335"/>
        <v>0</v>
      </c>
      <c r="EX672" s="3">
        <f t="shared" si="335"/>
        <v>0</v>
      </c>
      <c r="EY672" s="3">
        <f t="shared" si="335"/>
        <v>0</v>
      </c>
      <c r="EZ672" s="3">
        <f t="shared" si="335"/>
        <v>0</v>
      </c>
      <c r="FA672" s="3">
        <f t="shared" si="335"/>
        <v>0</v>
      </c>
      <c r="FB672" s="3">
        <f t="shared" si="335"/>
        <v>0</v>
      </c>
      <c r="FC672" s="3">
        <f t="shared" si="335"/>
        <v>0</v>
      </c>
      <c r="FD672" s="3">
        <f t="shared" si="335"/>
        <v>0</v>
      </c>
      <c r="FE672" s="3">
        <f t="shared" si="335"/>
        <v>0</v>
      </c>
      <c r="FF672" s="3">
        <f t="shared" si="335"/>
        <v>0</v>
      </c>
      <c r="FG672" s="3">
        <f t="shared" si="335"/>
        <v>0</v>
      </c>
      <c r="FH672" s="3">
        <f t="shared" si="335"/>
        <v>0</v>
      </c>
      <c r="FI672" s="3">
        <f t="shared" si="335"/>
        <v>0</v>
      </c>
      <c r="FJ672" s="3">
        <f t="shared" si="335"/>
        <v>0</v>
      </c>
      <c r="FK672" s="3">
        <f t="shared" si="335"/>
        <v>0</v>
      </c>
      <c r="FL672" s="3">
        <f t="shared" si="335"/>
        <v>0</v>
      </c>
      <c r="FM672" s="3">
        <f t="shared" si="335"/>
        <v>0</v>
      </c>
      <c r="FN672" s="3">
        <f t="shared" si="335"/>
        <v>0</v>
      </c>
      <c r="FO672" s="3">
        <f t="shared" si="335"/>
        <v>0</v>
      </c>
      <c r="FP672" s="3">
        <f t="shared" si="335"/>
        <v>0</v>
      </c>
      <c r="FQ672" s="3">
        <f t="shared" si="335"/>
        <v>0</v>
      </c>
      <c r="FR672" s="3">
        <f t="shared" si="335"/>
        <v>0</v>
      </c>
      <c r="FS672" s="3">
        <f t="shared" ref="FS672:GX672" si="336">FS674</f>
        <v>0</v>
      </c>
      <c r="FT672" s="3">
        <f t="shared" si="336"/>
        <v>0</v>
      </c>
      <c r="FU672" s="3">
        <f t="shared" si="336"/>
        <v>0</v>
      </c>
      <c r="FV672" s="3">
        <f t="shared" si="336"/>
        <v>0</v>
      </c>
      <c r="FW672" s="3">
        <f t="shared" si="336"/>
        <v>0</v>
      </c>
      <c r="FX672" s="3">
        <f t="shared" si="336"/>
        <v>0</v>
      </c>
      <c r="FY672" s="3">
        <f t="shared" si="336"/>
        <v>0</v>
      </c>
      <c r="FZ672" s="3">
        <f t="shared" si="336"/>
        <v>0</v>
      </c>
      <c r="GA672" s="3">
        <f t="shared" si="336"/>
        <v>0</v>
      </c>
      <c r="GB672" s="3">
        <f t="shared" si="336"/>
        <v>0</v>
      </c>
      <c r="GC672" s="3">
        <f t="shared" si="336"/>
        <v>0</v>
      </c>
      <c r="GD672" s="3">
        <f t="shared" si="336"/>
        <v>0</v>
      </c>
      <c r="GE672" s="3">
        <f t="shared" si="336"/>
        <v>0</v>
      </c>
      <c r="GF672" s="3">
        <f t="shared" si="336"/>
        <v>0</v>
      </c>
      <c r="GG672" s="3">
        <f t="shared" si="336"/>
        <v>0</v>
      </c>
      <c r="GH672" s="3">
        <f t="shared" si="336"/>
        <v>0</v>
      </c>
      <c r="GI672" s="3">
        <f t="shared" si="336"/>
        <v>0</v>
      </c>
      <c r="GJ672" s="3">
        <f t="shared" si="336"/>
        <v>0</v>
      </c>
      <c r="GK672" s="3">
        <f t="shared" si="336"/>
        <v>0</v>
      </c>
      <c r="GL672" s="3">
        <f t="shared" si="336"/>
        <v>0</v>
      </c>
      <c r="GM672" s="3">
        <f t="shared" si="336"/>
        <v>0</v>
      </c>
      <c r="GN672" s="3">
        <f t="shared" si="336"/>
        <v>0</v>
      </c>
      <c r="GO672" s="3">
        <f t="shared" si="336"/>
        <v>0</v>
      </c>
      <c r="GP672" s="3">
        <f t="shared" si="336"/>
        <v>0</v>
      </c>
      <c r="GQ672" s="3">
        <f t="shared" si="336"/>
        <v>0</v>
      </c>
      <c r="GR672" s="3">
        <f t="shared" si="336"/>
        <v>0</v>
      </c>
      <c r="GS672" s="3">
        <f t="shared" si="336"/>
        <v>0</v>
      </c>
      <c r="GT672" s="3">
        <f t="shared" si="336"/>
        <v>0</v>
      </c>
      <c r="GU672" s="3">
        <f t="shared" si="336"/>
        <v>0</v>
      </c>
      <c r="GV672" s="3">
        <f t="shared" si="336"/>
        <v>0</v>
      </c>
      <c r="GW672" s="3">
        <f t="shared" si="336"/>
        <v>0</v>
      </c>
      <c r="GX672" s="3">
        <f t="shared" si="336"/>
        <v>0</v>
      </c>
    </row>
    <row r="674" spans="1:206" x14ac:dyDescent="0.2">
      <c r="A674" s="2">
        <v>51</v>
      </c>
      <c r="B674" s="2">
        <f>B670</f>
        <v>1</v>
      </c>
      <c r="C674" s="2">
        <f>A670</f>
        <v>4</v>
      </c>
      <c r="D674" s="2">
        <f>ROW(A670)</f>
        <v>670</v>
      </c>
      <c r="E674" s="2"/>
      <c r="F674" s="2" t="str">
        <f>IF(F670&lt;&gt;"",F670,"")</f>
        <v>Новый раздел</v>
      </c>
      <c r="G674" s="2" t="str">
        <f>IF(G670&lt;&gt;"",G670,"")</f>
        <v>Хавская ул., д. 15 стр. 1-2</v>
      </c>
      <c r="H674" s="2">
        <v>0</v>
      </c>
      <c r="I674" s="2"/>
      <c r="J674" s="2"/>
      <c r="K674" s="2"/>
      <c r="L674" s="2"/>
      <c r="M674" s="2"/>
      <c r="N674" s="2"/>
      <c r="O674" s="2">
        <f t="shared" ref="O674:T674" si="337">ROUND(AB674,2)</f>
        <v>0</v>
      </c>
      <c r="P674" s="2">
        <f t="shared" si="337"/>
        <v>0</v>
      </c>
      <c r="Q674" s="2">
        <f t="shared" si="337"/>
        <v>0</v>
      </c>
      <c r="R674" s="2">
        <f t="shared" si="337"/>
        <v>0</v>
      </c>
      <c r="S674" s="2">
        <f t="shared" si="337"/>
        <v>0</v>
      </c>
      <c r="T674" s="2">
        <f t="shared" si="337"/>
        <v>0</v>
      </c>
      <c r="U674" s="2">
        <f>AH674</f>
        <v>0</v>
      </c>
      <c r="V674" s="2">
        <f>AI674</f>
        <v>0</v>
      </c>
      <c r="W674" s="2">
        <f>ROUND(AJ674,2)</f>
        <v>0</v>
      </c>
      <c r="X674" s="2">
        <f>ROUND(AK674,2)</f>
        <v>0</v>
      </c>
      <c r="Y674" s="2">
        <f>ROUND(AL674,2)</f>
        <v>0</v>
      </c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>
        <f t="shared" ref="AO674:BD674" si="338">ROUND(BX674,2)</f>
        <v>0</v>
      </c>
      <c r="AP674" s="2">
        <f t="shared" si="338"/>
        <v>0</v>
      </c>
      <c r="AQ674" s="2">
        <f t="shared" si="338"/>
        <v>0</v>
      </c>
      <c r="AR674" s="2">
        <f t="shared" si="338"/>
        <v>0</v>
      </c>
      <c r="AS674" s="2">
        <f t="shared" si="338"/>
        <v>0</v>
      </c>
      <c r="AT674" s="2">
        <f t="shared" si="338"/>
        <v>0</v>
      </c>
      <c r="AU674" s="2">
        <f t="shared" si="338"/>
        <v>0</v>
      </c>
      <c r="AV674" s="2">
        <f t="shared" si="338"/>
        <v>0</v>
      </c>
      <c r="AW674" s="2">
        <f t="shared" si="338"/>
        <v>0</v>
      </c>
      <c r="AX674" s="2">
        <f t="shared" si="338"/>
        <v>0</v>
      </c>
      <c r="AY674" s="2">
        <f t="shared" si="338"/>
        <v>0</v>
      </c>
      <c r="AZ674" s="2">
        <f t="shared" si="338"/>
        <v>0</v>
      </c>
      <c r="BA674" s="2">
        <f t="shared" si="338"/>
        <v>0</v>
      </c>
      <c r="BB674" s="2">
        <f t="shared" si="338"/>
        <v>0</v>
      </c>
      <c r="BC674" s="2">
        <f t="shared" si="338"/>
        <v>0</v>
      </c>
      <c r="BD674" s="2">
        <f t="shared" si="338"/>
        <v>0</v>
      </c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3"/>
      <c r="DH674" s="3"/>
      <c r="DI674" s="3"/>
      <c r="DJ674" s="3"/>
      <c r="DK674" s="3"/>
      <c r="DL674" s="3"/>
      <c r="DM674" s="3"/>
      <c r="DN674" s="3"/>
      <c r="DO674" s="3"/>
      <c r="DP674" s="3"/>
      <c r="DQ674" s="3"/>
      <c r="DR674" s="3"/>
      <c r="DS674" s="3"/>
      <c r="DT674" s="3"/>
      <c r="DU674" s="3"/>
      <c r="DV674" s="3"/>
      <c r="DW674" s="3"/>
      <c r="DX674" s="3"/>
      <c r="DY674" s="3"/>
      <c r="DZ674" s="3"/>
      <c r="EA674" s="3"/>
      <c r="EB674" s="3"/>
      <c r="EC674" s="3"/>
      <c r="ED674" s="3"/>
      <c r="EE674" s="3"/>
      <c r="EF674" s="3"/>
      <c r="EG674" s="3"/>
      <c r="EH674" s="3"/>
      <c r="EI674" s="3"/>
      <c r="EJ674" s="3"/>
      <c r="EK674" s="3"/>
      <c r="EL674" s="3"/>
      <c r="EM674" s="3"/>
      <c r="EN674" s="3"/>
      <c r="EO674" s="3"/>
      <c r="EP674" s="3"/>
      <c r="EQ674" s="3"/>
      <c r="ER674" s="3"/>
      <c r="ES674" s="3"/>
      <c r="ET674" s="3"/>
      <c r="EU674" s="3"/>
      <c r="EV674" s="3"/>
      <c r="EW674" s="3"/>
      <c r="EX674" s="3"/>
      <c r="EY674" s="3"/>
      <c r="EZ674" s="3"/>
      <c r="FA674" s="3"/>
      <c r="FB674" s="3"/>
      <c r="FC674" s="3"/>
      <c r="FD674" s="3"/>
      <c r="FE674" s="3"/>
      <c r="FF674" s="3"/>
      <c r="FG674" s="3"/>
      <c r="FH674" s="3"/>
      <c r="FI674" s="3"/>
      <c r="FJ674" s="3"/>
      <c r="FK674" s="3"/>
      <c r="FL674" s="3"/>
      <c r="FM674" s="3"/>
      <c r="FN674" s="3"/>
      <c r="FO674" s="3"/>
      <c r="FP674" s="3"/>
      <c r="FQ674" s="3"/>
      <c r="FR674" s="3"/>
      <c r="FS674" s="3"/>
      <c r="FT674" s="3"/>
      <c r="FU674" s="3"/>
      <c r="FV674" s="3"/>
      <c r="FW674" s="3"/>
      <c r="FX674" s="3"/>
      <c r="FY674" s="3"/>
      <c r="FZ674" s="3"/>
      <c r="GA674" s="3"/>
      <c r="GB674" s="3"/>
      <c r="GC674" s="3"/>
      <c r="GD674" s="3"/>
      <c r="GE674" s="3"/>
      <c r="GF674" s="3"/>
      <c r="GG674" s="3"/>
      <c r="GH674" s="3"/>
      <c r="GI674" s="3"/>
      <c r="GJ674" s="3"/>
      <c r="GK674" s="3"/>
      <c r="GL674" s="3"/>
      <c r="GM674" s="3"/>
      <c r="GN674" s="3"/>
      <c r="GO674" s="3"/>
      <c r="GP674" s="3"/>
      <c r="GQ674" s="3"/>
      <c r="GR674" s="3"/>
      <c r="GS674" s="3"/>
      <c r="GT674" s="3"/>
      <c r="GU674" s="3"/>
      <c r="GV674" s="3"/>
      <c r="GW674" s="3"/>
      <c r="GX674" s="3">
        <v>0</v>
      </c>
    </row>
    <row r="676" spans="1:206" x14ac:dyDescent="0.2">
      <c r="A676" s="4">
        <v>50</v>
      </c>
      <c r="B676" s="4">
        <v>0</v>
      </c>
      <c r="C676" s="4">
        <v>0</v>
      </c>
      <c r="D676" s="4">
        <v>1</v>
      </c>
      <c r="E676" s="4">
        <v>201</v>
      </c>
      <c r="F676" s="4">
        <f>ROUND(Source!O674,O676)</f>
        <v>0</v>
      </c>
      <c r="G676" s="4" t="s">
        <v>50</v>
      </c>
      <c r="H676" s="4" t="s">
        <v>51</v>
      </c>
      <c r="I676" s="4"/>
      <c r="J676" s="4"/>
      <c r="K676" s="4">
        <v>201</v>
      </c>
      <c r="L676" s="4">
        <v>1</v>
      </c>
      <c r="M676" s="4">
        <v>3</v>
      </c>
      <c r="N676" s="4" t="s">
        <v>3</v>
      </c>
      <c r="O676" s="4">
        <v>2</v>
      </c>
      <c r="P676" s="4"/>
      <c r="Q676" s="4"/>
      <c r="R676" s="4"/>
      <c r="S676" s="4"/>
      <c r="T676" s="4"/>
      <c r="U676" s="4"/>
      <c r="V676" s="4"/>
      <c r="W676" s="4"/>
    </row>
    <row r="677" spans="1:206" x14ac:dyDescent="0.2">
      <c r="A677" s="4">
        <v>50</v>
      </c>
      <c r="B677" s="4">
        <v>0</v>
      </c>
      <c r="C677" s="4">
        <v>0</v>
      </c>
      <c r="D677" s="4">
        <v>1</v>
      </c>
      <c r="E677" s="4">
        <v>202</v>
      </c>
      <c r="F677" s="4">
        <f>ROUND(Source!P674,O677)</f>
        <v>0</v>
      </c>
      <c r="G677" s="4" t="s">
        <v>52</v>
      </c>
      <c r="H677" s="4" t="s">
        <v>53</v>
      </c>
      <c r="I677" s="4"/>
      <c r="J677" s="4"/>
      <c r="K677" s="4">
        <v>202</v>
      </c>
      <c r="L677" s="4">
        <v>2</v>
      </c>
      <c r="M677" s="4">
        <v>3</v>
      </c>
      <c r="N677" s="4" t="s">
        <v>3</v>
      </c>
      <c r="O677" s="4">
        <v>2</v>
      </c>
      <c r="P677" s="4"/>
      <c r="Q677" s="4"/>
      <c r="R677" s="4"/>
      <c r="S677" s="4"/>
      <c r="T677" s="4"/>
      <c r="U677" s="4"/>
      <c r="V677" s="4"/>
      <c r="W677" s="4"/>
    </row>
    <row r="678" spans="1:206" x14ac:dyDescent="0.2">
      <c r="A678" s="4">
        <v>50</v>
      </c>
      <c r="B678" s="4">
        <v>0</v>
      </c>
      <c r="C678" s="4">
        <v>0</v>
      </c>
      <c r="D678" s="4">
        <v>1</v>
      </c>
      <c r="E678" s="4">
        <v>222</v>
      </c>
      <c r="F678" s="4">
        <f>ROUND(Source!AO674,O678)</f>
        <v>0</v>
      </c>
      <c r="G678" s="4" t="s">
        <v>54</v>
      </c>
      <c r="H678" s="4" t="s">
        <v>55</v>
      </c>
      <c r="I678" s="4"/>
      <c r="J678" s="4"/>
      <c r="K678" s="4">
        <v>222</v>
      </c>
      <c r="L678" s="4">
        <v>3</v>
      </c>
      <c r="M678" s="4">
        <v>3</v>
      </c>
      <c r="N678" s="4" t="s">
        <v>3</v>
      </c>
      <c r="O678" s="4">
        <v>2</v>
      </c>
      <c r="P678" s="4"/>
      <c r="Q678" s="4"/>
      <c r="R678" s="4"/>
      <c r="S678" s="4"/>
      <c r="T678" s="4"/>
      <c r="U678" s="4"/>
      <c r="V678" s="4"/>
      <c r="W678" s="4"/>
    </row>
    <row r="679" spans="1:206" x14ac:dyDescent="0.2">
      <c r="A679" s="4">
        <v>50</v>
      </c>
      <c r="B679" s="4">
        <v>0</v>
      </c>
      <c r="C679" s="4">
        <v>0</v>
      </c>
      <c r="D679" s="4">
        <v>1</v>
      </c>
      <c r="E679" s="4">
        <v>225</v>
      </c>
      <c r="F679" s="4">
        <f>ROUND(Source!AV674,O679)</f>
        <v>0</v>
      </c>
      <c r="G679" s="4" t="s">
        <v>56</v>
      </c>
      <c r="H679" s="4" t="s">
        <v>57</v>
      </c>
      <c r="I679" s="4"/>
      <c r="J679" s="4"/>
      <c r="K679" s="4">
        <v>225</v>
      </c>
      <c r="L679" s="4">
        <v>4</v>
      </c>
      <c r="M679" s="4">
        <v>3</v>
      </c>
      <c r="N679" s="4" t="s">
        <v>3</v>
      </c>
      <c r="O679" s="4">
        <v>2</v>
      </c>
      <c r="P679" s="4"/>
      <c r="Q679" s="4"/>
      <c r="R679" s="4"/>
      <c r="S679" s="4"/>
      <c r="T679" s="4"/>
      <c r="U679" s="4"/>
      <c r="V679" s="4"/>
      <c r="W679" s="4"/>
    </row>
    <row r="680" spans="1:206" x14ac:dyDescent="0.2">
      <c r="A680" s="4">
        <v>50</v>
      </c>
      <c r="B680" s="4">
        <v>0</v>
      </c>
      <c r="C680" s="4">
        <v>0</v>
      </c>
      <c r="D680" s="4">
        <v>1</v>
      </c>
      <c r="E680" s="4">
        <v>226</v>
      </c>
      <c r="F680" s="4">
        <f>ROUND(Source!AW674,O680)</f>
        <v>0</v>
      </c>
      <c r="G680" s="4" t="s">
        <v>58</v>
      </c>
      <c r="H680" s="4" t="s">
        <v>59</v>
      </c>
      <c r="I680" s="4"/>
      <c r="J680" s="4"/>
      <c r="K680" s="4">
        <v>226</v>
      </c>
      <c r="L680" s="4">
        <v>5</v>
      </c>
      <c r="M680" s="4">
        <v>3</v>
      </c>
      <c r="N680" s="4" t="s">
        <v>3</v>
      </c>
      <c r="O680" s="4">
        <v>2</v>
      </c>
      <c r="P680" s="4"/>
      <c r="Q680" s="4"/>
      <c r="R680" s="4"/>
      <c r="S680" s="4"/>
      <c r="T680" s="4"/>
      <c r="U680" s="4"/>
      <c r="V680" s="4"/>
      <c r="W680" s="4"/>
    </row>
    <row r="681" spans="1:206" x14ac:dyDescent="0.2">
      <c r="A681" s="4">
        <v>50</v>
      </c>
      <c r="B681" s="4">
        <v>0</v>
      </c>
      <c r="C681" s="4">
        <v>0</v>
      </c>
      <c r="D681" s="4">
        <v>1</v>
      </c>
      <c r="E681" s="4">
        <v>227</v>
      </c>
      <c r="F681" s="4">
        <f>ROUND(Source!AX674,O681)</f>
        <v>0</v>
      </c>
      <c r="G681" s="4" t="s">
        <v>60</v>
      </c>
      <c r="H681" s="4" t="s">
        <v>61</v>
      </c>
      <c r="I681" s="4"/>
      <c r="J681" s="4"/>
      <c r="K681" s="4">
        <v>227</v>
      </c>
      <c r="L681" s="4">
        <v>6</v>
      </c>
      <c r="M681" s="4">
        <v>3</v>
      </c>
      <c r="N681" s="4" t="s">
        <v>3</v>
      </c>
      <c r="O681" s="4">
        <v>2</v>
      </c>
      <c r="P681" s="4"/>
      <c r="Q681" s="4"/>
      <c r="R681" s="4"/>
      <c r="S681" s="4"/>
      <c r="T681" s="4"/>
      <c r="U681" s="4"/>
      <c r="V681" s="4"/>
      <c r="W681" s="4"/>
    </row>
    <row r="682" spans="1:206" x14ac:dyDescent="0.2">
      <c r="A682" s="4">
        <v>50</v>
      </c>
      <c r="B682" s="4">
        <v>0</v>
      </c>
      <c r="C682" s="4">
        <v>0</v>
      </c>
      <c r="D682" s="4">
        <v>1</v>
      </c>
      <c r="E682" s="4">
        <v>228</v>
      </c>
      <c r="F682" s="4">
        <f>ROUND(Source!AY674,O682)</f>
        <v>0</v>
      </c>
      <c r="G682" s="4" t="s">
        <v>62</v>
      </c>
      <c r="H682" s="4" t="s">
        <v>63</v>
      </c>
      <c r="I682" s="4"/>
      <c r="J682" s="4"/>
      <c r="K682" s="4">
        <v>228</v>
      </c>
      <c r="L682" s="4">
        <v>7</v>
      </c>
      <c r="M682" s="4">
        <v>3</v>
      </c>
      <c r="N682" s="4" t="s">
        <v>3</v>
      </c>
      <c r="O682" s="4">
        <v>2</v>
      </c>
      <c r="P682" s="4"/>
      <c r="Q682" s="4"/>
      <c r="R682" s="4"/>
      <c r="S682" s="4"/>
      <c r="T682" s="4"/>
      <c r="U682" s="4"/>
      <c r="V682" s="4"/>
      <c r="W682" s="4"/>
    </row>
    <row r="683" spans="1:206" x14ac:dyDescent="0.2">
      <c r="A683" s="4">
        <v>50</v>
      </c>
      <c r="B683" s="4">
        <v>0</v>
      </c>
      <c r="C683" s="4">
        <v>0</v>
      </c>
      <c r="D683" s="4">
        <v>1</v>
      </c>
      <c r="E683" s="4">
        <v>216</v>
      </c>
      <c r="F683" s="4">
        <f>ROUND(Source!AP674,O683)</f>
        <v>0</v>
      </c>
      <c r="G683" s="4" t="s">
        <v>64</v>
      </c>
      <c r="H683" s="4" t="s">
        <v>65</v>
      </c>
      <c r="I683" s="4"/>
      <c r="J683" s="4"/>
      <c r="K683" s="4">
        <v>216</v>
      </c>
      <c r="L683" s="4">
        <v>8</v>
      </c>
      <c r="M683" s="4">
        <v>3</v>
      </c>
      <c r="N683" s="4" t="s">
        <v>3</v>
      </c>
      <c r="O683" s="4">
        <v>2</v>
      </c>
      <c r="P683" s="4"/>
      <c r="Q683" s="4"/>
      <c r="R683" s="4"/>
      <c r="S683" s="4"/>
      <c r="T683" s="4"/>
      <c r="U683" s="4"/>
      <c r="V683" s="4"/>
      <c r="W683" s="4"/>
    </row>
    <row r="684" spans="1:206" x14ac:dyDescent="0.2">
      <c r="A684" s="4">
        <v>50</v>
      </c>
      <c r="B684" s="4">
        <v>0</v>
      </c>
      <c r="C684" s="4">
        <v>0</v>
      </c>
      <c r="D684" s="4">
        <v>1</v>
      </c>
      <c r="E684" s="4">
        <v>223</v>
      </c>
      <c r="F684" s="4">
        <f>ROUND(Source!AQ674,O684)</f>
        <v>0</v>
      </c>
      <c r="G684" s="4" t="s">
        <v>66</v>
      </c>
      <c r="H684" s="4" t="s">
        <v>67</v>
      </c>
      <c r="I684" s="4"/>
      <c r="J684" s="4"/>
      <c r="K684" s="4">
        <v>223</v>
      </c>
      <c r="L684" s="4">
        <v>9</v>
      </c>
      <c r="M684" s="4">
        <v>3</v>
      </c>
      <c r="N684" s="4" t="s">
        <v>3</v>
      </c>
      <c r="O684" s="4">
        <v>2</v>
      </c>
      <c r="P684" s="4"/>
      <c r="Q684" s="4"/>
      <c r="R684" s="4"/>
      <c r="S684" s="4"/>
      <c r="T684" s="4"/>
      <c r="U684" s="4"/>
      <c r="V684" s="4"/>
      <c r="W684" s="4"/>
    </row>
    <row r="685" spans="1:206" x14ac:dyDescent="0.2">
      <c r="A685" s="4">
        <v>50</v>
      </c>
      <c r="B685" s="4">
        <v>0</v>
      </c>
      <c r="C685" s="4">
        <v>0</v>
      </c>
      <c r="D685" s="4">
        <v>1</v>
      </c>
      <c r="E685" s="4">
        <v>229</v>
      </c>
      <c r="F685" s="4">
        <f>ROUND(Source!AZ674,O685)</f>
        <v>0</v>
      </c>
      <c r="G685" s="4" t="s">
        <v>68</v>
      </c>
      <c r="H685" s="4" t="s">
        <v>69</v>
      </c>
      <c r="I685" s="4"/>
      <c r="J685" s="4"/>
      <c r="K685" s="4">
        <v>229</v>
      </c>
      <c r="L685" s="4">
        <v>10</v>
      </c>
      <c r="M685" s="4">
        <v>3</v>
      </c>
      <c r="N685" s="4" t="s">
        <v>3</v>
      </c>
      <c r="O685" s="4">
        <v>2</v>
      </c>
      <c r="P685" s="4"/>
      <c r="Q685" s="4"/>
      <c r="R685" s="4"/>
      <c r="S685" s="4"/>
      <c r="T685" s="4"/>
      <c r="U685" s="4"/>
      <c r="V685" s="4"/>
      <c r="W685" s="4"/>
    </row>
    <row r="686" spans="1:206" x14ac:dyDescent="0.2">
      <c r="A686" s="4">
        <v>50</v>
      </c>
      <c r="B686" s="4">
        <v>0</v>
      </c>
      <c r="C686" s="4">
        <v>0</v>
      </c>
      <c r="D686" s="4">
        <v>1</v>
      </c>
      <c r="E686" s="4">
        <v>203</v>
      </c>
      <c r="F686" s="4">
        <f>ROUND(Source!Q674,O686)</f>
        <v>0</v>
      </c>
      <c r="G686" s="4" t="s">
        <v>70</v>
      </c>
      <c r="H686" s="4" t="s">
        <v>71</v>
      </c>
      <c r="I686" s="4"/>
      <c r="J686" s="4"/>
      <c r="K686" s="4">
        <v>203</v>
      </c>
      <c r="L686" s="4">
        <v>11</v>
      </c>
      <c r="M686" s="4">
        <v>3</v>
      </c>
      <c r="N686" s="4" t="s">
        <v>3</v>
      </c>
      <c r="O686" s="4">
        <v>2</v>
      </c>
      <c r="P686" s="4"/>
      <c r="Q686" s="4"/>
      <c r="R686" s="4"/>
      <c r="S686" s="4"/>
      <c r="T686" s="4"/>
      <c r="U686" s="4"/>
      <c r="V686" s="4"/>
      <c r="W686" s="4"/>
    </row>
    <row r="687" spans="1:206" x14ac:dyDescent="0.2">
      <c r="A687" s="4">
        <v>50</v>
      </c>
      <c r="B687" s="4">
        <v>0</v>
      </c>
      <c r="C687" s="4">
        <v>0</v>
      </c>
      <c r="D687" s="4">
        <v>1</v>
      </c>
      <c r="E687" s="4">
        <v>231</v>
      </c>
      <c r="F687" s="4">
        <f>ROUND(Source!BB674,O687)</f>
        <v>0</v>
      </c>
      <c r="G687" s="4" t="s">
        <v>72</v>
      </c>
      <c r="H687" s="4" t="s">
        <v>73</v>
      </c>
      <c r="I687" s="4"/>
      <c r="J687" s="4"/>
      <c r="K687" s="4">
        <v>231</v>
      </c>
      <c r="L687" s="4">
        <v>12</v>
      </c>
      <c r="M687" s="4">
        <v>3</v>
      </c>
      <c r="N687" s="4" t="s">
        <v>3</v>
      </c>
      <c r="O687" s="4">
        <v>2</v>
      </c>
      <c r="P687" s="4"/>
      <c r="Q687" s="4"/>
      <c r="R687" s="4"/>
      <c r="S687" s="4"/>
      <c r="T687" s="4"/>
      <c r="U687" s="4"/>
      <c r="V687" s="4"/>
      <c r="W687" s="4"/>
    </row>
    <row r="688" spans="1:206" x14ac:dyDescent="0.2">
      <c r="A688" s="4">
        <v>50</v>
      </c>
      <c r="B688" s="4">
        <v>0</v>
      </c>
      <c r="C688" s="4">
        <v>0</v>
      </c>
      <c r="D688" s="4">
        <v>1</v>
      </c>
      <c r="E688" s="4">
        <v>204</v>
      </c>
      <c r="F688" s="4">
        <f>ROUND(Source!R674,O688)</f>
        <v>0</v>
      </c>
      <c r="G688" s="4" t="s">
        <v>74</v>
      </c>
      <c r="H688" s="4" t="s">
        <v>75</v>
      </c>
      <c r="I688" s="4"/>
      <c r="J688" s="4"/>
      <c r="K688" s="4">
        <v>204</v>
      </c>
      <c r="L688" s="4">
        <v>13</v>
      </c>
      <c r="M688" s="4">
        <v>3</v>
      </c>
      <c r="N688" s="4" t="s">
        <v>3</v>
      </c>
      <c r="O688" s="4">
        <v>2</v>
      </c>
      <c r="P688" s="4"/>
      <c r="Q688" s="4"/>
      <c r="R688" s="4"/>
      <c r="S688" s="4"/>
      <c r="T688" s="4"/>
      <c r="U688" s="4"/>
      <c r="V688" s="4"/>
      <c r="W688" s="4"/>
    </row>
    <row r="689" spans="1:88" x14ac:dyDescent="0.2">
      <c r="A689" s="4">
        <v>50</v>
      </c>
      <c r="B689" s="4">
        <v>0</v>
      </c>
      <c r="C689" s="4">
        <v>0</v>
      </c>
      <c r="D689" s="4">
        <v>1</v>
      </c>
      <c r="E689" s="4">
        <v>205</v>
      </c>
      <c r="F689" s="4">
        <f>ROUND(Source!S674,O689)</f>
        <v>0</v>
      </c>
      <c r="G689" s="4" t="s">
        <v>76</v>
      </c>
      <c r="H689" s="4" t="s">
        <v>77</v>
      </c>
      <c r="I689" s="4"/>
      <c r="J689" s="4"/>
      <c r="K689" s="4">
        <v>205</v>
      </c>
      <c r="L689" s="4">
        <v>14</v>
      </c>
      <c r="M689" s="4">
        <v>3</v>
      </c>
      <c r="N689" s="4" t="s">
        <v>3</v>
      </c>
      <c r="O689" s="4">
        <v>2</v>
      </c>
      <c r="P689" s="4"/>
      <c r="Q689" s="4"/>
      <c r="R689" s="4"/>
      <c r="S689" s="4"/>
      <c r="T689" s="4"/>
      <c r="U689" s="4"/>
      <c r="V689" s="4"/>
      <c r="W689" s="4"/>
    </row>
    <row r="690" spans="1:88" x14ac:dyDescent="0.2">
      <c r="A690" s="4">
        <v>50</v>
      </c>
      <c r="B690" s="4">
        <v>0</v>
      </c>
      <c r="C690" s="4">
        <v>0</v>
      </c>
      <c r="D690" s="4">
        <v>1</v>
      </c>
      <c r="E690" s="4">
        <v>232</v>
      </c>
      <c r="F690" s="4">
        <f>ROUND(Source!BC674,O690)</f>
        <v>0</v>
      </c>
      <c r="G690" s="4" t="s">
        <v>78</v>
      </c>
      <c r="H690" s="4" t="s">
        <v>79</v>
      </c>
      <c r="I690" s="4"/>
      <c r="J690" s="4"/>
      <c r="K690" s="4">
        <v>232</v>
      </c>
      <c r="L690" s="4">
        <v>15</v>
      </c>
      <c r="M690" s="4">
        <v>3</v>
      </c>
      <c r="N690" s="4" t="s">
        <v>3</v>
      </c>
      <c r="O690" s="4">
        <v>2</v>
      </c>
      <c r="P690" s="4"/>
      <c r="Q690" s="4"/>
      <c r="R690" s="4"/>
      <c r="S690" s="4"/>
      <c r="T690" s="4"/>
      <c r="U690" s="4"/>
      <c r="V690" s="4"/>
      <c r="W690" s="4"/>
    </row>
    <row r="691" spans="1:88" x14ac:dyDescent="0.2">
      <c r="A691" s="4">
        <v>50</v>
      </c>
      <c r="B691" s="4">
        <v>0</v>
      </c>
      <c r="C691" s="4">
        <v>0</v>
      </c>
      <c r="D691" s="4">
        <v>1</v>
      </c>
      <c r="E691" s="4">
        <v>214</v>
      </c>
      <c r="F691" s="4">
        <f>ROUND(Source!AS674,O691)</f>
        <v>0</v>
      </c>
      <c r="G691" s="4" t="s">
        <v>80</v>
      </c>
      <c r="H691" s="4" t="s">
        <v>81</v>
      </c>
      <c r="I691" s="4"/>
      <c r="J691" s="4"/>
      <c r="K691" s="4">
        <v>214</v>
      </c>
      <c r="L691" s="4">
        <v>16</v>
      </c>
      <c r="M691" s="4">
        <v>3</v>
      </c>
      <c r="N691" s="4" t="s">
        <v>3</v>
      </c>
      <c r="O691" s="4">
        <v>2</v>
      </c>
      <c r="P691" s="4"/>
      <c r="Q691" s="4"/>
      <c r="R691" s="4"/>
      <c r="S691" s="4"/>
      <c r="T691" s="4"/>
      <c r="U691" s="4"/>
      <c r="V691" s="4"/>
      <c r="W691" s="4"/>
    </row>
    <row r="692" spans="1:88" x14ac:dyDescent="0.2">
      <c r="A692" s="4">
        <v>50</v>
      </c>
      <c r="B692" s="4">
        <v>0</v>
      </c>
      <c r="C692" s="4">
        <v>0</v>
      </c>
      <c r="D692" s="4">
        <v>1</v>
      </c>
      <c r="E692" s="4">
        <v>215</v>
      </c>
      <c r="F692" s="4">
        <f>ROUND(Source!AT674,O692)</f>
        <v>0</v>
      </c>
      <c r="G692" s="4" t="s">
        <v>82</v>
      </c>
      <c r="H692" s="4" t="s">
        <v>83</v>
      </c>
      <c r="I692" s="4"/>
      <c r="J692" s="4"/>
      <c r="K692" s="4">
        <v>215</v>
      </c>
      <c r="L692" s="4">
        <v>17</v>
      </c>
      <c r="M692" s="4">
        <v>3</v>
      </c>
      <c r="N692" s="4" t="s">
        <v>3</v>
      </c>
      <c r="O692" s="4">
        <v>2</v>
      </c>
      <c r="P692" s="4"/>
      <c r="Q692" s="4"/>
      <c r="R692" s="4"/>
      <c r="S692" s="4"/>
      <c r="T692" s="4"/>
      <c r="U692" s="4"/>
      <c r="V692" s="4"/>
      <c r="W692" s="4"/>
    </row>
    <row r="693" spans="1:88" x14ac:dyDescent="0.2">
      <c r="A693" s="4">
        <v>50</v>
      </c>
      <c r="B693" s="4">
        <v>0</v>
      </c>
      <c r="C693" s="4">
        <v>0</v>
      </c>
      <c r="D693" s="4">
        <v>1</v>
      </c>
      <c r="E693" s="4">
        <v>217</v>
      </c>
      <c r="F693" s="4">
        <f>ROUND(Source!AU674,O693)</f>
        <v>0</v>
      </c>
      <c r="G693" s="4" t="s">
        <v>84</v>
      </c>
      <c r="H693" s="4" t="s">
        <v>85</v>
      </c>
      <c r="I693" s="4"/>
      <c r="J693" s="4"/>
      <c r="K693" s="4">
        <v>217</v>
      </c>
      <c r="L693" s="4">
        <v>18</v>
      </c>
      <c r="M693" s="4">
        <v>3</v>
      </c>
      <c r="N693" s="4" t="s">
        <v>3</v>
      </c>
      <c r="O693" s="4">
        <v>2</v>
      </c>
      <c r="P693" s="4"/>
      <c r="Q693" s="4"/>
      <c r="R693" s="4"/>
      <c r="S693" s="4"/>
      <c r="T693" s="4"/>
      <c r="U693" s="4"/>
      <c r="V693" s="4"/>
      <c r="W693" s="4"/>
    </row>
    <row r="694" spans="1:88" x14ac:dyDescent="0.2">
      <c r="A694" s="4">
        <v>50</v>
      </c>
      <c r="B694" s="4">
        <v>0</v>
      </c>
      <c r="C694" s="4">
        <v>0</v>
      </c>
      <c r="D694" s="4">
        <v>1</v>
      </c>
      <c r="E694" s="4">
        <v>230</v>
      </c>
      <c r="F694" s="4">
        <f>ROUND(Source!BA674,O694)</f>
        <v>0</v>
      </c>
      <c r="G694" s="4" t="s">
        <v>86</v>
      </c>
      <c r="H694" s="4" t="s">
        <v>87</v>
      </c>
      <c r="I694" s="4"/>
      <c r="J694" s="4"/>
      <c r="K694" s="4">
        <v>230</v>
      </c>
      <c r="L694" s="4">
        <v>19</v>
      </c>
      <c r="M694" s="4">
        <v>3</v>
      </c>
      <c r="N694" s="4" t="s">
        <v>3</v>
      </c>
      <c r="O694" s="4">
        <v>2</v>
      </c>
      <c r="P694" s="4"/>
      <c r="Q694" s="4"/>
      <c r="R694" s="4"/>
      <c r="S694" s="4"/>
      <c r="T694" s="4"/>
      <c r="U694" s="4"/>
      <c r="V694" s="4"/>
      <c r="W694" s="4"/>
    </row>
    <row r="695" spans="1:88" x14ac:dyDescent="0.2">
      <c r="A695" s="4">
        <v>50</v>
      </c>
      <c r="B695" s="4">
        <v>0</v>
      </c>
      <c r="C695" s="4">
        <v>0</v>
      </c>
      <c r="D695" s="4">
        <v>1</v>
      </c>
      <c r="E695" s="4">
        <v>206</v>
      </c>
      <c r="F695" s="4">
        <f>ROUND(Source!T674,O695)</f>
        <v>0</v>
      </c>
      <c r="G695" s="4" t="s">
        <v>88</v>
      </c>
      <c r="H695" s="4" t="s">
        <v>89</v>
      </c>
      <c r="I695" s="4"/>
      <c r="J695" s="4"/>
      <c r="K695" s="4">
        <v>206</v>
      </c>
      <c r="L695" s="4">
        <v>20</v>
      </c>
      <c r="M695" s="4">
        <v>3</v>
      </c>
      <c r="N695" s="4" t="s">
        <v>3</v>
      </c>
      <c r="O695" s="4">
        <v>2</v>
      </c>
      <c r="P695" s="4"/>
      <c r="Q695" s="4"/>
      <c r="R695" s="4"/>
      <c r="S695" s="4"/>
      <c r="T695" s="4"/>
      <c r="U695" s="4"/>
      <c r="V695" s="4"/>
      <c r="W695" s="4"/>
    </row>
    <row r="696" spans="1:88" x14ac:dyDescent="0.2">
      <c r="A696" s="4">
        <v>50</v>
      </c>
      <c r="B696" s="4">
        <v>0</v>
      </c>
      <c r="C696" s="4">
        <v>0</v>
      </c>
      <c r="D696" s="4">
        <v>1</v>
      </c>
      <c r="E696" s="4">
        <v>207</v>
      </c>
      <c r="F696" s="4">
        <f>Source!U674</f>
        <v>0</v>
      </c>
      <c r="G696" s="4" t="s">
        <v>90</v>
      </c>
      <c r="H696" s="4" t="s">
        <v>91</v>
      </c>
      <c r="I696" s="4"/>
      <c r="J696" s="4"/>
      <c r="K696" s="4">
        <v>207</v>
      </c>
      <c r="L696" s="4">
        <v>21</v>
      </c>
      <c r="M696" s="4">
        <v>3</v>
      </c>
      <c r="N696" s="4" t="s">
        <v>3</v>
      </c>
      <c r="O696" s="4">
        <v>-1</v>
      </c>
      <c r="P696" s="4"/>
      <c r="Q696" s="4"/>
      <c r="R696" s="4"/>
      <c r="S696" s="4"/>
      <c r="T696" s="4"/>
      <c r="U696" s="4"/>
      <c r="V696" s="4"/>
      <c r="W696" s="4"/>
    </row>
    <row r="697" spans="1:88" x14ac:dyDescent="0.2">
      <c r="A697" s="4">
        <v>50</v>
      </c>
      <c r="B697" s="4">
        <v>0</v>
      </c>
      <c r="C697" s="4">
        <v>0</v>
      </c>
      <c r="D697" s="4">
        <v>1</v>
      </c>
      <c r="E697" s="4">
        <v>208</v>
      </c>
      <c r="F697" s="4">
        <f>Source!V674</f>
        <v>0</v>
      </c>
      <c r="G697" s="4" t="s">
        <v>92</v>
      </c>
      <c r="H697" s="4" t="s">
        <v>93</v>
      </c>
      <c r="I697" s="4"/>
      <c r="J697" s="4"/>
      <c r="K697" s="4">
        <v>208</v>
      </c>
      <c r="L697" s="4">
        <v>22</v>
      </c>
      <c r="M697" s="4">
        <v>3</v>
      </c>
      <c r="N697" s="4" t="s">
        <v>3</v>
      </c>
      <c r="O697" s="4">
        <v>-1</v>
      </c>
      <c r="P697" s="4"/>
      <c r="Q697" s="4"/>
      <c r="R697" s="4"/>
      <c r="S697" s="4"/>
      <c r="T697" s="4"/>
      <c r="U697" s="4"/>
      <c r="V697" s="4"/>
      <c r="W697" s="4"/>
    </row>
    <row r="698" spans="1:88" x14ac:dyDescent="0.2">
      <c r="A698" s="4">
        <v>50</v>
      </c>
      <c r="B698" s="4">
        <v>0</v>
      </c>
      <c r="C698" s="4">
        <v>0</v>
      </c>
      <c r="D698" s="4">
        <v>1</v>
      </c>
      <c r="E698" s="4">
        <v>209</v>
      </c>
      <c r="F698" s="4">
        <f>ROUND(Source!W674,O698)</f>
        <v>0</v>
      </c>
      <c r="G698" s="4" t="s">
        <v>94</v>
      </c>
      <c r="H698" s="4" t="s">
        <v>95</v>
      </c>
      <c r="I698" s="4"/>
      <c r="J698" s="4"/>
      <c r="K698" s="4">
        <v>209</v>
      </c>
      <c r="L698" s="4">
        <v>23</v>
      </c>
      <c r="M698" s="4">
        <v>3</v>
      </c>
      <c r="N698" s="4" t="s">
        <v>3</v>
      </c>
      <c r="O698" s="4">
        <v>2</v>
      </c>
      <c r="P698" s="4"/>
      <c r="Q698" s="4"/>
      <c r="R698" s="4"/>
      <c r="S698" s="4"/>
      <c r="T698" s="4"/>
      <c r="U698" s="4"/>
      <c r="V698" s="4"/>
      <c r="W698" s="4"/>
    </row>
    <row r="699" spans="1:88" x14ac:dyDescent="0.2">
      <c r="A699" s="4">
        <v>50</v>
      </c>
      <c r="B699" s="4">
        <v>0</v>
      </c>
      <c r="C699" s="4">
        <v>0</v>
      </c>
      <c r="D699" s="4">
        <v>1</v>
      </c>
      <c r="E699" s="4">
        <v>233</v>
      </c>
      <c r="F699" s="4">
        <f>ROUND(Source!BD674,O699)</f>
        <v>0</v>
      </c>
      <c r="G699" s="4" t="s">
        <v>96</v>
      </c>
      <c r="H699" s="4" t="s">
        <v>97</v>
      </c>
      <c r="I699" s="4"/>
      <c r="J699" s="4"/>
      <c r="K699" s="4">
        <v>233</v>
      </c>
      <c r="L699" s="4">
        <v>24</v>
      </c>
      <c r="M699" s="4">
        <v>3</v>
      </c>
      <c r="N699" s="4" t="s">
        <v>3</v>
      </c>
      <c r="O699" s="4">
        <v>2</v>
      </c>
      <c r="P699" s="4"/>
      <c r="Q699" s="4"/>
      <c r="R699" s="4"/>
      <c r="S699" s="4"/>
      <c r="T699" s="4"/>
      <c r="U699" s="4"/>
      <c r="V699" s="4"/>
      <c r="W699" s="4"/>
    </row>
    <row r="700" spans="1:88" x14ac:dyDescent="0.2">
      <c r="A700" s="4">
        <v>50</v>
      </c>
      <c r="B700" s="4">
        <v>0</v>
      </c>
      <c r="C700" s="4">
        <v>0</v>
      </c>
      <c r="D700" s="4">
        <v>1</v>
      </c>
      <c r="E700" s="4">
        <v>210</v>
      </c>
      <c r="F700" s="4">
        <f>ROUND(Source!X674,O700)</f>
        <v>0</v>
      </c>
      <c r="G700" s="4" t="s">
        <v>98</v>
      </c>
      <c r="H700" s="4" t="s">
        <v>99</v>
      </c>
      <c r="I700" s="4"/>
      <c r="J700" s="4"/>
      <c r="K700" s="4">
        <v>210</v>
      </c>
      <c r="L700" s="4">
        <v>25</v>
      </c>
      <c r="M700" s="4">
        <v>3</v>
      </c>
      <c r="N700" s="4" t="s">
        <v>3</v>
      </c>
      <c r="O700" s="4">
        <v>2</v>
      </c>
      <c r="P700" s="4"/>
      <c r="Q700" s="4"/>
      <c r="R700" s="4"/>
      <c r="S700" s="4"/>
      <c r="T700" s="4"/>
      <c r="U700" s="4"/>
      <c r="V700" s="4"/>
      <c r="W700" s="4"/>
    </row>
    <row r="701" spans="1:88" x14ac:dyDescent="0.2">
      <c r="A701" s="4">
        <v>50</v>
      </c>
      <c r="B701" s="4">
        <v>0</v>
      </c>
      <c r="C701" s="4">
        <v>0</v>
      </c>
      <c r="D701" s="4">
        <v>1</v>
      </c>
      <c r="E701" s="4">
        <v>211</v>
      </c>
      <c r="F701" s="4">
        <f>ROUND(Source!Y674,O701)</f>
        <v>0</v>
      </c>
      <c r="G701" s="4" t="s">
        <v>100</v>
      </c>
      <c r="H701" s="4" t="s">
        <v>101</v>
      </c>
      <c r="I701" s="4"/>
      <c r="J701" s="4"/>
      <c r="K701" s="4">
        <v>211</v>
      </c>
      <c r="L701" s="4">
        <v>26</v>
      </c>
      <c r="M701" s="4">
        <v>3</v>
      </c>
      <c r="N701" s="4" t="s">
        <v>3</v>
      </c>
      <c r="O701" s="4">
        <v>2</v>
      </c>
      <c r="P701" s="4"/>
      <c r="Q701" s="4"/>
      <c r="R701" s="4"/>
      <c r="S701" s="4"/>
      <c r="T701" s="4"/>
      <c r="U701" s="4"/>
      <c r="V701" s="4"/>
      <c r="W701" s="4"/>
    </row>
    <row r="702" spans="1:88" x14ac:dyDescent="0.2">
      <c r="A702" s="4">
        <v>50</v>
      </c>
      <c r="B702" s="4">
        <v>0</v>
      </c>
      <c r="C702" s="4">
        <v>0</v>
      </c>
      <c r="D702" s="4">
        <v>1</v>
      </c>
      <c r="E702" s="4">
        <v>224</v>
      </c>
      <c r="F702" s="4">
        <f>ROUND(Source!AR674,O702)</f>
        <v>0</v>
      </c>
      <c r="G702" s="4" t="s">
        <v>102</v>
      </c>
      <c r="H702" s="4" t="s">
        <v>103</v>
      </c>
      <c r="I702" s="4"/>
      <c r="J702" s="4"/>
      <c r="K702" s="4">
        <v>224</v>
      </c>
      <c r="L702" s="4">
        <v>27</v>
      </c>
      <c r="M702" s="4">
        <v>3</v>
      </c>
      <c r="N702" s="4" t="s">
        <v>3</v>
      </c>
      <c r="O702" s="4">
        <v>2</v>
      </c>
      <c r="P702" s="4"/>
      <c r="Q702" s="4"/>
      <c r="R702" s="4"/>
      <c r="S702" s="4"/>
      <c r="T702" s="4"/>
      <c r="U702" s="4"/>
      <c r="V702" s="4"/>
      <c r="W702" s="4"/>
    </row>
    <row r="704" spans="1:88" x14ac:dyDescent="0.2">
      <c r="A704" s="1">
        <v>4</v>
      </c>
      <c r="B704" s="1">
        <v>1</v>
      </c>
      <c r="C704" s="1"/>
      <c r="D704" s="1">
        <f>ROW(A785)</f>
        <v>785</v>
      </c>
      <c r="E704" s="1"/>
      <c r="F704" s="1" t="s">
        <v>12</v>
      </c>
      <c r="G704" s="1" t="s">
        <v>254</v>
      </c>
      <c r="H704" s="1" t="s">
        <v>3</v>
      </c>
      <c r="I704" s="1">
        <v>0</v>
      </c>
      <c r="J704" s="1"/>
      <c r="K704" s="1">
        <v>0</v>
      </c>
      <c r="L704" s="1"/>
      <c r="M704" s="1"/>
      <c r="N704" s="1"/>
      <c r="O704" s="1"/>
      <c r="P704" s="1"/>
      <c r="Q704" s="1"/>
      <c r="R704" s="1"/>
      <c r="S704" s="1"/>
      <c r="T704" s="1"/>
      <c r="U704" s="1" t="s">
        <v>3</v>
      </c>
      <c r="V704" s="1">
        <v>0</v>
      </c>
      <c r="W704" s="1"/>
      <c r="X704" s="1"/>
      <c r="Y704" s="1"/>
      <c r="Z704" s="1"/>
      <c r="AA704" s="1"/>
      <c r="AB704" s="1" t="s">
        <v>3</v>
      </c>
      <c r="AC704" s="1" t="s">
        <v>3</v>
      </c>
      <c r="AD704" s="1" t="s">
        <v>3</v>
      </c>
      <c r="AE704" s="1" t="s">
        <v>3</v>
      </c>
      <c r="AF704" s="1" t="s">
        <v>3</v>
      </c>
      <c r="AG704" s="1" t="s">
        <v>3</v>
      </c>
      <c r="AH704" s="1"/>
      <c r="AI704" s="1"/>
      <c r="AJ704" s="1"/>
      <c r="AK704" s="1"/>
      <c r="AL704" s="1"/>
      <c r="AM704" s="1"/>
      <c r="AN704" s="1"/>
      <c r="AO704" s="1"/>
      <c r="AP704" s="1" t="s">
        <v>3</v>
      </c>
      <c r="AQ704" s="1" t="s">
        <v>3</v>
      </c>
      <c r="AR704" s="1" t="s">
        <v>3</v>
      </c>
      <c r="AS704" s="1"/>
      <c r="AT704" s="1"/>
      <c r="AU704" s="1"/>
      <c r="AV704" s="1"/>
      <c r="AW704" s="1"/>
      <c r="AX704" s="1"/>
      <c r="AY704" s="1"/>
      <c r="AZ704" s="1" t="s">
        <v>3</v>
      </c>
      <c r="BA704" s="1"/>
      <c r="BB704" s="1" t="s">
        <v>3</v>
      </c>
      <c r="BC704" s="1" t="s">
        <v>3</v>
      </c>
      <c r="BD704" s="1" t="s">
        <v>3</v>
      </c>
      <c r="BE704" s="1" t="s">
        <v>3</v>
      </c>
      <c r="BF704" s="1" t="s">
        <v>3</v>
      </c>
      <c r="BG704" s="1" t="s">
        <v>3</v>
      </c>
      <c r="BH704" s="1" t="s">
        <v>3</v>
      </c>
      <c r="BI704" s="1" t="s">
        <v>3</v>
      </c>
      <c r="BJ704" s="1" t="s">
        <v>3</v>
      </c>
      <c r="BK704" s="1" t="s">
        <v>3</v>
      </c>
      <c r="BL704" s="1" t="s">
        <v>3</v>
      </c>
      <c r="BM704" s="1" t="s">
        <v>3</v>
      </c>
      <c r="BN704" s="1" t="s">
        <v>3</v>
      </c>
      <c r="BO704" s="1" t="s">
        <v>3</v>
      </c>
      <c r="BP704" s="1" t="s">
        <v>3</v>
      </c>
      <c r="BQ704" s="1"/>
      <c r="BR704" s="1"/>
      <c r="BS704" s="1"/>
      <c r="BT704" s="1"/>
      <c r="BU704" s="1"/>
      <c r="BV704" s="1"/>
      <c r="BW704" s="1"/>
      <c r="BX704" s="1">
        <v>0</v>
      </c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>
        <v>0</v>
      </c>
    </row>
    <row r="706" spans="1:245" x14ac:dyDescent="0.2">
      <c r="A706" s="2">
        <v>52</v>
      </c>
      <c r="B706" s="2">
        <f t="shared" ref="B706:G706" si="339">B785</f>
        <v>1</v>
      </c>
      <c r="C706" s="2">
        <f t="shared" si="339"/>
        <v>4</v>
      </c>
      <c r="D706" s="2">
        <f t="shared" si="339"/>
        <v>704</v>
      </c>
      <c r="E706" s="2">
        <f t="shared" si="339"/>
        <v>0</v>
      </c>
      <c r="F706" s="2" t="str">
        <f t="shared" si="339"/>
        <v>Новый раздел</v>
      </c>
      <c r="G706" s="2" t="str">
        <f t="shared" si="339"/>
        <v>Контейнерная площадка</v>
      </c>
      <c r="H706" s="2"/>
      <c r="I706" s="2"/>
      <c r="J706" s="2"/>
      <c r="K706" s="2"/>
      <c r="L706" s="2"/>
      <c r="M706" s="2"/>
      <c r="N706" s="2"/>
      <c r="O706" s="2">
        <f t="shared" ref="O706:AT706" si="340">O785</f>
        <v>72425.19</v>
      </c>
      <c r="P706" s="2">
        <f t="shared" si="340"/>
        <v>58414.77</v>
      </c>
      <c r="Q706" s="2">
        <f t="shared" si="340"/>
        <v>506.51</v>
      </c>
      <c r="R706" s="2">
        <f t="shared" si="340"/>
        <v>116.02</v>
      </c>
      <c r="S706" s="2">
        <f t="shared" si="340"/>
        <v>13503.91</v>
      </c>
      <c r="T706" s="2">
        <f t="shared" si="340"/>
        <v>0</v>
      </c>
      <c r="U706" s="2">
        <f t="shared" si="340"/>
        <v>53.215900000000005</v>
      </c>
      <c r="V706" s="2">
        <f t="shared" si="340"/>
        <v>0</v>
      </c>
      <c r="W706" s="2">
        <f t="shared" si="340"/>
        <v>0</v>
      </c>
      <c r="X706" s="2">
        <f t="shared" si="340"/>
        <v>9452.73</v>
      </c>
      <c r="Y706" s="2">
        <f t="shared" si="340"/>
        <v>1350.4</v>
      </c>
      <c r="Z706" s="2">
        <f t="shared" si="340"/>
        <v>0</v>
      </c>
      <c r="AA706" s="2">
        <f t="shared" si="340"/>
        <v>0</v>
      </c>
      <c r="AB706" s="2">
        <f t="shared" si="340"/>
        <v>0</v>
      </c>
      <c r="AC706" s="2">
        <f t="shared" si="340"/>
        <v>0</v>
      </c>
      <c r="AD706" s="2">
        <f t="shared" si="340"/>
        <v>0</v>
      </c>
      <c r="AE706" s="2">
        <f t="shared" si="340"/>
        <v>0</v>
      </c>
      <c r="AF706" s="2">
        <f t="shared" si="340"/>
        <v>0</v>
      </c>
      <c r="AG706" s="2">
        <f t="shared" si="340"/>
        <v>0</v>
      </c>
      <c r="AH706" s="2">
        <f t="shared" si="340"/>
        <v>0</v>
      </c>
      <c r="AI706" s="2">
        <f t="shared" si="340"/>
        <v>0</v>
      </c>
      <c r="AJ706" s="2">
        <f t="shared" si="340"/>
        <v>0</v>
      </c>
      <c r="AK706" s="2">
        <f t="shared" si="340"/>
        <v>0</v>
      </c>
      <c r="AL706" s="2">
        <f t="shared" si="340"/>
        <v>0</v>
      </c>
      <c r="AM706" s="2">
        <f t="shared" si="340"/>
        <v>0</v>
      </c>
      <c r="AN706" s="2">
        <f t="shared" si="340"/>
        <v>0</v>
      </c>
      <c r="AO706" s="2">
        <f t="shared" si="340"/>
        <v>0</v>
      </c>
      <c r="AP706" s="2">
        <f t="shared" si="340"/>
        <v>0</v>
      </c>
      <c r="AQ706" s="2">
        <f t="shared" si="340"/>
        <v>0</v>
      </c>
      <c r="AR706" s="2">
        <f t="shared" si="340"/>
        <v>83353.62</v>
      </c>
      <c r="AS706" s="2">
        <f t="shared" si="340"/>
        <v>0</v>
      </c>
      <c r="AT706" s="2">
        <f t="shared" si="340"/>
        <v>0</v>
      </c>
      <c r="AU706" s="2">
        <f t="shared" ref="AU706:BZ706" si="341">AU785</f>
        <v>83353.62</v>
      </c>
      <c r="AV706" s="2">
        <f t="shared" si="341"/>
        <v>58414.77</v>
      </c>
      <c r="AW706" s="2">
        <f t="shared" si="341"/>
        <v>58414.77</v>
      </c>
      <c r="AX706" s="2">
        <f t="shared" si="341"/>
        <v>0</v>
      </c>
      <c r="AY706" s="2">
        <f t="shared" si="341"/>
        <v>58414.77</v>
      </c>
      <c r="AZ706" s="2">
        <f t="shared" si="341"/>
        <v>0</v>
      </c>
      <c r="BA706" s="2">
        <f t="shared" si="341"/>
        <v>0</v>
      </c>
      <c r="BB706" s="2">
        <f t="shared" si="341"/>
        <v>0</v>
      </c>
      <c r="BC706" s="2">
        <f t="shared" si="341"/>
        <v>0</v>
      </c>
      <c r="BD706" s="2">
        <f t="shared" si="341"/>
        <v>0</v>
      </c>
      <c r="BE706" s="2">
        <f t="shared" si="341"/>
        <v>0</v>
      </c>
      <c r="BF706" s="2">
        <f t="shared" si="341"/>
        <v>0</v>
      </c>
      <c r="BG706" s="2">
        <f t="shared" si="341"/>
        <v>0</v>
      </c>
      <c r="BH706" s="2">
        <f t="shared" si="341"/>
        <v>0</v>
      </c>
      <c r="BI706" s="2">
        <f t="shared" si="341"/>
        <v>0</v>
      </c>
      <c r="BJ706" s="2">
        <f t="shared" si="341"/>
        <v>0</v>
      </c>
      <c r="BK706" s="2">
        <f t="shared" si="341"/>
        <v>0</v>
      </c>
      <c r="BL706" s="2">
        <f t="shared" si="341"/>
        <v>0</v>
      </c>
      <c r="BM706" s="2">
        <f t="shared" si="341"/>
        <v>0</v>
      </c>
      <c r="BN706" s="2">
        <f t="shared" si="341"/>
        <v>0</v>
      </c>
      <c r="BO706" s="2">
        <f t="shared" si="341"/>
        <v>0</v>
      </c>
      <c r="BP706" s="2">
        <f t="shared" si="341"/>
        <v>0</v>
      </c>
      <c r="BQ706" s="2">
        <f t="shared" si="341"/>
        <v>0</v>
      </c>
      <c r="BR706" s="2">
        <f t="shared" si="341"/>
        <v>0</v>
      </c>
      <c r="BS706" s="2">
        <f t="shared" si="341"/>
        <v>0</v>
      </c>
      <c r="BT706" s="2">
        <f t="shared" si="341"/>
        <v>0</v>
      </c>
      <c r="BU706" s="2">
        <f t="shared" si="341"/>
        <v>0</v>
      </c>
      <c r="BV706" s="2">
        <f t="shared" si="341"/>
        <v>0</v>
      </c>
      <c r="BW706" s="2">
        <f t="shared" si="341"/>
        <v>0</v>
      </c>
      <c r="BX706" s="2">
        <f t="shared" si="341"/>
        <v>0</v>
      </c>
      <c r="BY706" s="2">
        <f t="shared" si="341"/>
        <v>0</v>
      </c>
      <c r="BZ706" s="2">
        <f t="shared" si="341"/>
        <v>0</v>
      </c>
      <c r="CA706" s="2">
        <f t="shared" ref="CA706:DF706" si="342">CA785</f>
        <v>0</v>
      </c>
      <c r="CB706" s="2">
        <f t="shared" si="342"/>
        <v>0</v>
      </c>
      <c r="CC706" s="2">
        <f t="shared" si="342"/>
        <v>0</v>
      </c>
      <c r="CD706" s="2">
        <f t="shared" si="342"/>
        <v>0</v>
      </c>
      <c r="CE706" s="2">
        <f t="shared" si="342"/>
        <v>0</v>
      </c>
      <c r="CF706" s="2">
        <f t="shared" si="342"/>
        <v>0</v>
      </c>
      <c r="CG706" s="2">
        <f t="shared" si="342"/>
        <v>0</v>
      </c>
      <c r="CH706" s="2">
        <f t="shared" si="342"/>
        <v>0</v>
      </c>
      <c r="CI706" s="2">
        <f t="shared" si="342"/>
        <v>0</v>
      </c>
      <c r="CJ706" s="2">
        <f t="shared" si="342"/>
        <v>0</v>
      </c>
      <c r="CK706" s="2">
        <f t="shared" si="342"/>
        <v>0</v>
      </c>
      <c r="CL706" s="2">
        <f t="shared" si="342"/>
        <v>0</v>
      </c>
      <c r="CM706" s="2">
        <f t="shared" si="342"/>
        <v>0</v>
      </c>
      <c r="CN706" s="2">
        <f t="shared" si="342"/>
        <v>0</v>
      </c>
      <c r="CO706" s="2">
        <f t="shared" si="342"/>
        <v>0</v>
      </c>
      <c r="CP706" s="2">
        <f t="shared" si="342"/>
        <v>0</v>
      </c>
      <c r="CQ706" s="2">
        <f t="shared" si="342"/>
        <v>0</v>
      </c>
      <c r="CR706" s="2">
        <f t="shared" si="342"/>
        <v>0</v>
      </c>
      <c r="CS706" s="2">
        <f t="shared" si="342"/>
        <v>0</v>
      </c>
      <c r="CT706" s="2">
        <f t="shared" si="342"/>
        <v>0</v>
      </c>
      <c r="CU706" s="2">
        <f t="shared" si="342"/>
        <v>0</v>
      </c>
      <c r="CV706" s="2">
        <f t="shared" si="342"/>
        <v>0</v>
      </c>
      <c r="CW706" s="2">
        <f t="shared" si="342"/>
        <v>0</v>
      </c>
      <c r="CX706" s="2">
        <f t="shared" si="342"/>
        <v>0</v>
      </c>
      <c r="CY706" s="2">
        <f t="shared" si="342"/>
        <v>0</v>
      </c>
      <c r="CZ706" s="2">
        <f t="shared" si="342"/>
        <v>0</v>
      </c>
      <c r="DA706" s="2">
        <f t="shared" si="342"/>
        <v>0</v>
      </c>
      <c r="DB706" s="2">
        <f t="shared" si="342"/>
        <v>0</v>
      </c>
      <c r="DC706" s="2">
        <f t="shared" si="342"/>
        <v>0</v>
      </c>
      <c r="DD706" s="2">
        <f t="shared" si="342"/>
        <v>0</v>
      </c>
      <c r="DE706" s="2">
        <f t="shared" si="342"/>
        <v>0</v>
      </c>
      <c r="DF706" s="2">
        <f t="shared" si="342"/>
        <v>0</v>
      </c>
      <c r="DG706" s="3">
        <f t="shared" ref="DG706:EL706" si="343">DG785</f>
        <v>0</v>
      </c>
      <c r="DH706" s="3">
        <f t="shared" si="343"/>
        <v>0</v>
      </c>
      <c r="DI706" s="3">
        <f t="shared" si="343"/>
        <v>0</v>
      </c>
      <c r="DJ706" s="3">
        <f t="shared" si="343"/>
        <v>0</v>
      </c>
      <c r="DK706" s="3">
        <f t="shared" si="343"/>
        <v>0</v>
      </c>
      <c r="DL706" s="3">
        <f t="shared" si="343"/>
        <v>0</v>
      </c>
      <c r="DM706" s="3">
        <f t="shared" si="343"/>
        <v>0</v>
      </c>
      <c r="DN706" s="3">
        <f t="shared" si="343"/>
        <v>0</v>
      </c>
      <c r="DO706" s="3">
        <f t="shared" si="343"/>
        <v>0</v>
      </c>
      <c r="DP706" s="3">
        <f t="shared" si="343"/>
        <v>0</v>
      </c>
      <c r="DQ706" s="3">
        <f t="shared" si="343"/>
        <v>0</v>
      </c>
      <c r="DR706" s="3">
        <f t="shared" si="343"/>
        <v>0</v>
      </c>
      <c r="DS706" s="3">
        <f t="shared" si="343"/>
        <v>0</v>
      </c>
      <c r="DT706" s="3">
        <f t="shared" si="343"/>
        <v>0</v>
      </c>
      <c r="DU706" s="3">
        <f t="shared" si="343"/>
        <v>0</v>
      </c>
      <c r="DV706" s="3">
        <f t="shared" si="343"/>
        <v>0</v>
      </c>
      <c r="DW706" s="3">
        <f t="shared" si="343"/>
        <v>0</v>
      </c>
      <c r="DX706" s="3">
        <f t="shared" si="343"/>
        <v>0</v>
      </c>
      <c r="DY706" s="3">
        <f t="shared" si="343"/>
        <v>0</v>
      </c>
      <c r="DZ706" s="3">
        <f t="shared" si="343"/>
        <v>0</v>
      </c>
      <c r="EA706" s="3">
        <f t="shared" si="343"/>
        <v>0</v>
      </c>
      <c r="EB706" s="3">
        <f t="shared" si="343"/>
        <v>0</v>
      </c>
      <c r="EC706" s="3">
        <f t="shared" si="343"/>
        <v>0</v>
      </c>
      <c r="ED706" s="3">
        <f t="shared" si="343"/>
        <v>0</v>
      </c>
      <c r="EE706" s="3">
        <f t="shared" si="343"/>
        <v>0</v>
      </c>
      <c r="EF706" s="3">
        <f t="shared" si="343"/>
        <v>0</v>
      </c>
      <c r="EG706" s="3">
        <f t="shared" si="343"/>
        <v>0</v>
      </c>
      <c r="EH706" s="3">
        <f t="shared" si="343"/>
        <v>0</v>
      </c>
      <c r="EI706" s="3">
        <f t="shared" si="343"/>
        <v>0</v>
      </c>
      <c r="EJ706" s="3">
        <f t="shared" si="343"/>
        <v>0</v>
      </c>
      <c r="EK706" s="3">
        <f t="shared" si="343"/>
        <v>0</v>
      </c>
      <c r="EL706" s="3">
        <f t="shared" si="343"/>
        <v>0</v>
      </c>
      <c r="EM706" s="3">
        <f t="shared" ref="EM706:FR706" si="344">EM785</f>
        <v>0</v>
      </c>
      <c r="EN706" s="3">
        <f t="shared" si="344"/>
        <v>0</v>
      </c>
      <c r="EO706" s="3">
        <f t="shared" si="344"/>
        <v>0</v>
      </c>
      <c r="EP706" s="3">
        <f t="shared" si="344"/>
        <v>0</v>
      </c>
      <c r="EQ706" s="3">
        <f t="shared" si="344"/>
        <v>0</v>
      </c>
      <c r="ER706" s="3">
        <f t="shared" si="344"/>
        <v>0</v>
      </c>
      <c r="ES706" s="3">
        <f t="shared" si="344"/>
        <v>0</v>
      </c>
      <c r="ET706" s="3">
        <f t="shared" si="344"/>
        <v>0</v>
      </c>
      <c r="EU706" s="3">
        <f t="shared" si="344"/>
        <v>0</v>
      </c>
      <c r="EV706" s="3">
        <f t="shared" si="344"/>
        <v>0</v>
      </c>
      <c r="EW706" s="3">
        <f t="shared" si="344"/>
        <v>0</v>
      </c>
      <c r="EX706" s="3">
        <f t="shared" si="344"/>
        <v>0</v>
      </c>
      <c r="EY706" s="3">
        <f t="shared" si="344"/>
        <v>0</v>
      </c>
      <c r="EZ706" s="3">
        <f t="shared" si="344"/>
        <v>0</v>
      </c>
      <c r="FA706" s="3">
        <f t="shared" si="344"/>
        <v>0</v>
      </c>
      <c r="FB706" s="3">
        <f t="shared" si="344"/>
        <v>0</v>
      </c>
      <c r="FC706" s="3">
        <f t="shared" si="344"/>
        <v>0</v>
      </c>
      <c r="FD706" s="3">
        <f t="shared" si="344"/>
        <v>0</v>
      </c>
      <c r="FE706" s="3">
        <f t="shared" si="344"/>
        <v>0</v>
      </c>
      <c r="FF706" s="3">
        <f t="shared" si="344"/>
        <v>0</v>
      </c>
      <c r="FG706" s="3">
        <f t="shared" si="344"/>
        <v>0</v>
      </c>
      <c r="FH706" s="3">
        <f t="shared" si="344"/>
        <v>0</v>
      </c>
      <c r="FI706" s="3">
        <f t="shared" si="344"/>
        <v>0</v>
      </c>
      <c r="FJ706" s="3">
        <f t="shared" si="344"/>
        <v>0</v>
      </c>
      <c r="FK706" s="3">
        <f t="shared" si="344"/>
        <v>0</v>
      </c>
      <c r="FL706" s="3">
        <f t="shared" si="344"/>
        <v>0</v>
      </c>
      <c r="FM706" s="3">
        <f t="shared" si="344"/>
        <v>0</v>
      </c>
      <c r="FN706" s="3">
        <f t="shared" si="344"/>
        <v>0</v>
      </c>
      <c r="FO706" s="3">
        <f t="shared" si="344"/>
        <v>0</v>
      </c>
      <c r="FP706" s="3">
        <f t="shared" si="344"/>
        <v>0</v>
      </c>
      <c r="FQ706" s="3">
        <f t="shared" si="344"/>
        <v>0</v>
      </c>
      <c r="FR706" s="3">
        <f t="shared" si="344"/>
        <v>0</v>
      </c>
      <c r="FS706" s="3">
        <f t="shared" ref="FS706:GX706" si="345">FS785</f>
        <v>0</v>
      </c>
      <c r="FT706" s="3">
        <f t="shared" si="345"/>
        <v>0</v>
      </c>
      <c r="FU706" s="3">
        <f t="shared" si="345"/>
        <v>0</v>
      </c>
      <c r="FV706" s="3">
        <f t="shared" si="345"/>
        <v>0</v>
      </c>
      <c r="FW706" s="3">
        <f t="shared" si="345"/>
        <v>0</v>
      </c>
      <c r="FX706" s="3">
        <f t="shared" si="345"/>
        <v>0</v>
      </c>
      <c r="FY706" s="3">
        <f t="shared" si="345"/>
        <v>0</v>
      </c>
      <c r="FZ706" s="3">
        <f t="shared" si="345"/>
        <v>0</v>
      </c>
      <c r="GA706" s="3">
        <f t="shared" si="345"/>
        <v>0</v>
      </c>
      <c r="GB706" s="3">
        <f t="shared" si="345"/>
        <v>0</v>
      </c>
      <c r="GC706" s="3">
        <f t="shared" si="345"/>
        <v>0</v>
      </c>
      <c r="GD706" s="3">
        <f t="shared" si="345"/>
        <v>0</v>
      </c>
      <c r="GE706" s="3">
        <f t="shared" si="345"/>
        <v>0</v>
      </c>
      <c r="GF706" s="3">
        <f t="shared" si="345"/>
        <v>0</v>
      </c>
      <c r="GG706" s="3">
        <f t="shared" si="345"/>
        <v>0</v>
      </c>
      <c r="GH706" s="3">
        <f t="shared" si="345"/>
        <v>0</v>
      </c>
      <c r="GI706" s="3">
        <f t="shared" si="345"/>
        <v>0</v>
      </c>
      <c r="GJ706" s="3">
        <f t="shared" si="345"/>
        <v>0</v>
      </c>
      <c r="GK706" s="3">
        <f t="shared" si="345"/>
        <v>0</v>
      </c>
      <c r="GL706" s="3">
        <f t="shared" si="345"/>
        <v>0</v>
      </c>
      <c r="GM706" s="3">
        <f t="shared" si="345"/>
        <v>0</v>
      </c>
      <c r="GN706" s="3">
        <f t="shared" si="345"/>
        <v>0</v>
      </c>
      <c r="GO706" s="3">
        <f t="shared" si="345"/>
        <v>0</v>
      </c>
      <c r="GP706" s="3">
        <f t="shared" si="345"/>
        <v>0</v>
      </c>
      <c r="GQ706" s="3">
        <f t="shared" si="345"/>
        <v>0</v>
      </c>
      <c r="GR706" s="3">
        <f t="shared" si="345"/>
        <v>0</v>
      </c>
      <c r="GS706" s="3">
        <f t="shared" si="345"/>
        <v>0</v>
      </c>
      <c r="GT706" s="3">
        <f t="shared" si="345"/>
        <v>0</v>
      </c>
      <c r="GU706" s="3">
        <f t="shared" si="345"/>
        <v>0</v>
      </c>
      <c r="GV706" s="3">
        <f t="shared" si="345"/>
        <v>0</v>
      </c>
      <c r="GW706" s="3">
        <f t="shared" si="345"/>
        <v>0</v>
      </c>
      <c r="GX706" s="3">
        <f t="shared" si="345"/>
        <v>0</v>
      </c>
    </row>
    <row r="708" spans="1:245" x14ac:dyDescent="0.2">
      <c r="A708" s="1">
        <v>5</v>
      </c>
      <c r="B708" s="1">
        <v>1</v>
      </c>
      <c r="C708" s="1"/>
      <c r="D708" s="1">
        <f>ROW(A716)</f>
        <v>716</v>
      </c>
      <c r="E708" s="1"/>
      <c r="F708" s="1" t="s">
        <v>14</v>
      </c>
      <c r="G708" s="1" t="s">
        <v>15</v>
      </c>
      <c r="H708" s="1" t="s">
        <v>3</v>
      </c>
      <c r="I708" s="1">
        <v>0</v>
      </c>
      <c r="J708" s="1"/>
      <c r="K708" s="1">
        <v>0</v>
      </c>
      <c r="L708" s="1"/>
      <c r="M708" s="1"/>
      <c r="N708" s="1"/>
      <c r="O708" s="1"/>
      <c r="P708" s="1"/>
      <c r="Q708" s="1"/>
      <c r="R708" s="1"/>
      <c r="S708" s="1"/>
      <c r="T708" s="1"/>
      <c r="U708" s="1" t="s">
        <v>3</v>
      </c>
      <c r="V708" s="1">
        <v>0</v>
      </c>
      <c r="W708" s="1"/>
      <c r="X708" s="1"/>
      <c r="Y708" s="1"/>
      <c r="Z708" s="1"/>
      <c r="AA708" s="1"/>
      <c r="AB708" s="1" t="s">
        <v>3</v>
      </c>
      <c r="AC708" s="1" t="s">
        <v>3</v>
      </c>
      <c r="AD708" s="1" t="s">
        <v>3</v>
      </c>
      <c r="AE708" s="1" t="s">
        <v>3</v>
      </c>
      <c r="AF708" s="1" t="s">
        <v>3</v>
      </c>
      <c r="AG708" s="1" t="s">
        <v>3</v>
      </c>
      <c r="AH708" s="1"/>
      <c r="AI708" s="1"/>
      <c r="AJ708" s="1"/>
      <c r="AK708" s="1"/>
      <c r="AL708" s="1"/>
      <c r="AM708" s="1"/>
      <c r="AN708" s="1"/>
      <c r="AO708" s="1"/>
      <c r="AP708" s="1" t="s">
        <v>3</v>
      </c>
      <c r="AQ708" s="1" t="s">
        <v>3</v>
      </c>
      <c r="AR708" s="1" t="s">
        <v>3</v>
      </c>
      <c r="AS708" s="1"/>
      <c r="AT708" s="1"/>
      <c r="AU708" s="1"/>
      <c r="AV708" s="1"/>
      <c r="AW708" s="1"/>
      <c r="AX708" s="1"/>
      <c r="AY708" s="1"/>
      <c r="AZ708" s="1" t="s">
        <v>3</v>
      </c>
      <c r="BA708" s="1"/>
      <c r="BB708" s="1" t="s">
        <v>3</v>
      </c>
      <c r="BC708" s="1" t="s">
        <v>3</v>
      </c>
      <c r="BD708" s="1" t="s">
        <v>3</v>
      </c>
      <c r="BE708" s="1" t="s">
        <v>3</v>
      </c>
      <c r="BF708" s="1" t="s">
        <v>3</v>
      </c>
      <c r="BG708" s="1" t="s">
        <v>3</v>
      </c>
      <c r="BH708" s="1" t="s">
        <v>3</v>
      </c>
      <c r="BI708" s="1" t="s">
        <v>3</v>
      </c>
      <c r="BJ708" s="1" t="s">
        <v>3</v>
      </c>
      <c r="BK708" s="1" t="s">
        <v>3</v>
      </c>
      <c r="BL708" s="1" t="s">
        <v>3</v>
      </c>
      <c r="BM708" s="1" t="s">
        <v>3</v>
      </c>
      <c r="BN708" s="1" t="s">
        <v>3</v>
      </c>
      <c r="BO708" s="1" t="s">
        <v>3</v>
      </c>
      <c r="BP708" s="1" t="s">
        <v>3</v>
      </c>
      <c r="BQ708" s="1"/>
      <c r="BR708" s="1"/>
      <c r="BS708" s="1"/>
      <c r="BT708" s="1"/>
      <c r="BU708" s="1"/>
      <c r="BV708" s="1"/>
      <c r="BW708" s="1"/>
      <c r="BX708" s="1">
        <v>0</v>
      </c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>
        <v>0</v>
      </c>
    </row>
    <row r="710" spans="1:245" x14ac:dyDescent="0.2">
      <c r="A710" s="2">
        <v>52</v>
      </c>
      <c r="B710" s="2">
        <f t="shared" ref="B710:G710" si="346">B716</f>
        <v>1</v>
      </c>
      <c r="C710" s="2">
        <f t="shared" si="346"/>
        <v>5</v>
      </c>
      <c r="D710" s="2">
        <f t="shared" si="346"/>
        <v>708</v>
      </c>
      <c r="E710" s="2">
        <f t="shared" si="346"/>
        <v>0</v>
      </c>
      <c r="F710" s="2" t="str">
        <f t="shared" si="346"/>
        <v>Новый подраздел</v>
      </c>
      <c r="G710" s="2" t="str">
        <f t="shared" si="346"/>
        <v>Демонтажные работы</v>
      </c>
      <c r="H710" s="2"/>
      <c r="I710" s="2"/>
      <c r="J710" s="2"/>
      <c r="K710" s="2"/>
      <c r="L710" s="2"/>
      <c r="M710" s="2"/>
      <c r="N710" s="2"/>
      <c r="O710" s="2">
        <f t="shared" ref="O710:AT710" si="347">O716</f>
        <v>2006.16</v>
      </c>
      <c r="P710" s="2">
        <f t="shared" si="347"/>
        <v>0</v>
      </c>
      <c r="Q710" s="2">
        <f t="shared" si="347"/>
        <v>42.41</v>
      </c>
      <c r="R710" s="2">
        <f t="shared" si="347"/>
        <v>1.75</v>
      </c>
      <c r="S710" s="2">
        <f t="shared" si="347"/>
        <v>1963.75</v>
      </c>
      <c r="T710" s="2">
        <f t="shared" si="347"/>
        <v>0</v>
      </c>
      <c r="U710" s="2">
        <f t="shared" si="347"/>
        <v>8.0159000000000002</v>
      </c>
      <c r="V710" s="2">
        <f t="shared" si="347"/>
        <v>0</v>
      </c>
      <c r="W710" s="2">
        <f t="shared" si="347"/>
        <v>0</v>
      </c>
      <c r="X710" s="2">
        <f t="shared" si="347"/>
        <v>1374.62</v>
      </c>
      <c r="Y710" s="2">
        <f t="shared" si="347"/>
        <v>196.38</v>
      </c>
      <c r="Z710" s="2">
        <f t="shared" si="347"/>
        <v>0</v>
      </c>
      <c r="AA710" s="2">
        <f t="shared" si="347"/>
        <v>0</v>
      </c>
      <c r="AB710" s="2">
        <f t="shared" si="347"/>
        <v>2006.16</v>
      </c>
      <c r="AC710" s="2">
        <f t="shared" si="347"/>
        <v>0</v>
      </c>
      <c r="AD710" s="2">
        <f t="shared" si="347"/>
        <v>42.41</v>
      </c>
      <c r="AE710" s="2">
        <f t="shared" si="347"/>
        <v>1.75</v>
      </c>
      <c r="AF710" s="2">
        <f t="shared" si="347"/>
        <v>1963.75</v>
      </c>
      <c r="AG710" s="2">
        <f t="shared" si="347"/>
        <v>0</v>
      </c>
      <c r="AH710" s="2">
        <f t="shared" si="347"/>
        <v>8.0159000000000002</v>
      </c>
      <c r="AI710" s="2">
        <f t="shared" si="347"/>
        <v>0</v>
      </c>
      <c r="AJ710" s="2">
        <f t="shared" si="347"/>
        <v>0</v>
      </c>
      <c r="AK710" s="2">
        <f t="shared" si="347"/>
        <v>1374.62</v>
      </c>
      <c r="AL710" s="2">
        <f t="shared" si="347"/>
        <v>196.38</v>
      </c>
      <c r="AM710" s="2">
        <f t="shared" si="347"/>
        <v>0</v>
      </c>
      <c r="AN710" s="2">
        <f t="shared" si="347"/>
        <v>0</v>
      </c>
      <c r="AO710" s="2">
        <f t="shared" si="347"/>
        <v>0</v>
      </c>
      <c r="AP710" s="2">
        <f t="shared" si="347"/>
        <v>0</v>
      </c>
      <c r="AQ710" s="2">
        <f t="shared" si="347"/>
        <v>0</v>
      </c>
      <c r="AR710" s="2">
        <f t="shared" si="347"/>
        <v>3579.05</v>
      </c>
      <c r="AS710" s="2">
        <f t="shared" si="347"/>
        <v>0</v>
      </c>
      <c r="AT710" s="2">
        <f t="shared" si="347"/>
        <v>0</v>
      </c>
      <c r="AU710" s="2">
        <f t="shared" ref="AU710:BZ710" si="348">AU716</f>
        <v>3579.05</v>
      </c>
      <c r="AV710" s="2">
        <f t="shared" si="348"/>
        <v>0</v>
      </c>
      <c r="AW710" s="2">
        <f t="shared" si="348"/>
        <v>0</v>
      </c>
      <c r="AX710" s="2">
        <f t="shared" si="348"/>
        <v>0</v>
      </c>
      <c r="AY710" s="2">
        <f t="shared" si="348"/>
        <v>0</v>
      </c>
      <c r="AZ710" s="2">
        <f t="shared" si="348"/>
        <v>0</v>
      </c>
      <c r="BA710" s="2">
        <f t="shared" si="348"/>
        <v>0</v>
      </c>
      <c r="BB710" s="2">
        <f t="shared" si="348"/>
        <v>0</v>
      </c>
      <c r="BC710" s="2">
        <f t="shared" si="348"/>
        <v>0</v>
      </c>
      <c r="BD710" s="2">
        <f t="shared" si="348"/>
        <v>0</v>
      </c>
      <c r="BE710" s="2">
        <f t="shared" si="348"/>
        <v>0</v>
      </c>
      <c r="BF710" s="2">
        <f t="shared" si="348"/>
        <v>0</v>
      </c>
      <c r="BG710" s="2">
        <f t="shared" si="348"/>
        <v>0</v>
      </c>
      <c r="BH710" s="2">
        <f t="shared" si="348"/>
        <v>0</v>
      </c>
      <c r="BI710" s="2">
        <f t="shared" si="348"/>
        <v>0</v>
      </c>
      <c r="BJ710" s="2">
        <f t="shared" si="348"/>
        <v>0</v>
      </c>
      <c r="BK710" s="2">
        <f t="shared" si="348"/>
        <v>0</v>
      </c>
      <c r="BL710" s="2">
        <f t="shared" si="348"/>
        <v>0</v>
      </c>
      <c r="BM710" s="2">
        <f t="shared" si="348"/>
        <v>0</v>
      </c>
      <c r="BN710" s="2">
        <f t="shared" si="348"/>
        <v>0</v>
      </c>
      <c r="BO710" s="2">
        <f t="shared" si="348"/>
        <v>0</v>
      </c>
      <c r="BP710" s="2">
        <f t="shared" si="348"/>
        <v>0</v>
      </c>
      <c r="BQ710" s="2">
        <f t="shared" si="348"/>
        <v>0</v>
      </c>
      <c r="BR710" s="2">
        <f t="shared" si="348"/>
        <v>0</v>
      </c>
      <c r="BS710" s="2">
        <f t="shared" si="348"/>
        <v>0</v>
      </c>
      <c r="BT710" s="2">
        <f t="shared" si="348"/>
        <v>0</v>
      </c>
      <c r="BU710" s="2">
        <f t="shared" si="348"/>
        <v>0</v>
      </c>
      <c r="BV710" s="2">
        <f t="shared" si="348"/>
        <v>0</v>
      </c>
      <c r="BW710" s="2">
        <f t="shared" si="348"/>
        <v>0</v>
      </c>
      <c r="BX710" s="2">
        <f t="shared" si="348"/>
        <v>0</v>
      </c>
      <c r="BY710" s="2">
        <f t="shared" si="348"/>
        <v>0</v>
      </c>
      <c r="BZ710" s="2">
        <f t="shared" si="348"/>
        <v>0</v>
      </c>
      <c r="CA710" s="2">
        <f t="shared" ref="CA710:DF710" si="349">CA716</f>
        <v>3579.05</v>
      </c>
      <c r="CB710" s="2">
        <f t="shared" si="349"/>
        <v>0</v>
      </c>
      <c r="CC710" s="2">
        <f t="shared" si="349"/>
        <v>0</v>
      </c>
      <c r="CD710" s="2">
        <f t="shared" si="349"/>
        <v>3579.05</v>
      </c>
      <c r="CE710" s="2">
        <f t="shared" si="349"/>
        <v>0</v>
      </c>
      <c r="CF710" s="2">
        <f t="shared" si="349"/>
        <v>0</v>
      </c>
      <c r="CG710" s="2">
        <f t="shared" si="349"/>
        <v>0</v>
      </c>
      <c r="CH710" s="2">
        <f t="shared" si="349"/>
        <v>0</v>
      </c>
      <c r="CI710" s="2">
        <f t="shared" si="349"/>
        <v>0</v>
      </c>
      <c r="CJ710" s="2">
        <f t="shared" si="349"/>
        <v>0</v>
      </c>
      <c r="CK710" s="2">
        <f t="shared" si="349"/>
        <v>0</v>
      </c>
      <c r="CL710" s="2">
        <f t="shared" si="349"/>
        <v>0</v>
      </c>
      <c r="CM710" s="2">
        <f t="shared" si="349"/>
        <v>0</v>
      </c>
      <c r="CN710" s="2">
        <f t="shared" si="349"/>
        <v>0</v>
      </c>
      <c r="CO710" s="2">
        <f t="shared" si="349"/>
        <v>0</v>
      </c>
      <c r="CP710" s="2">
        <f t="shared" si="349"/>
        <v>0</v>
      </c>
      <c r="CQ710" s="2">
        <f t="shared" si="349"/>
        <v>0</v>
      </c>
      <c r="CR710" s="2">
        <f t="shared" si="349"/>
        <v>0</v>
      </c>
      <c r="CS710" s="2">
        <f t="shared" si="349"/>
        <v>0</v>
      </c>
      <c r="CT710" s="2">
        <f t="shared" si="349"/>
        <v>0</v>
      </c>
      <c r="CU710" s="2">
        <f t="shared" si="349"/>
        <v>0</v>
      </c>
      <c r="CV710" s="2">
        <f t="shared" si="349"/>
        <v>0</v>
      </c>
      <c r="CW710" s="2">
        <f t="shared" si="349"/>
        <v>0</v>
      </c>
      <c r="CX710" s="2">
        <f t="shared" si="349"/>
        <v>0</v>
      </c>
      <c r="CY710" s="2">
        <f t="shared" si="349"/>
        <v>0</v>
      </c>
      <c r="CZ710" s="2">
        <f t="shared" si="349"/>
        <v>0</v>
      </c>
      <c r="DA710" s="2">
        <f t="shared" si="349"/>
        <v>0</v>
      </c>
      <c r="DB710" s="2">
        <f t="shared" si="349"/>
        <v>0</v>
      </c>
      <c r="DC710" s="2">
        <f t="shared" si="349"/>
        <v>0</v>
      </c>
      <c r="DD710" s="2">
        <f t="shared" si="349"/>
        <v>0</v>
      </c>
      <c r="DE710" s="2">
        <f t="shared" si="349"/>
        <v>0</v>
      </c>
      <c r="DF710" s="2">
        <f t="shared" si="349"/>
        <v>0</v>
      </c>
      <c r="DG710" s="3">
        <f t="shared" ref="DG710:EL710" si="350">DG716</f>
        <v>0</v>
      </c>
      <c r="DH710" s="3">
        <f t="shared" si="350"/>
        <v>0</v>
      </c>
      <c r="DI710" s="3">
        <f t="shared" si="350"/>
        <v>0</v>
      </c>
      <c r="DJ710" s="3">
        <f t="shared" si="350"/>
        <v>0</v>
      </c>
      <c r="DK710" s="3">
        <f t="shared" si="350"/>
        <v>0</v>
      </c>
      <c r="DL710" s="3">
        <f t="shared" si="350"/>
        <v>0</v>
      </c>
      <c r="DM710" s="3">
        <f t="shared" si="350"/>
        <v>0</v>
      </c>
      <c r="DN710" s="3">
        <f t="shared" si="350"/>
        <v>0</v>
      </c>
      <c r="DO710" s="3">
        <f t="shared" si="350"/>
        <v>0</v>
      </c>
      <c r="DP710" s="3">
        <f t="shared" si="350"/>
        <v>0</v>
      </c>
      <c r="DQ710" s="3">
        <f t="shared" si="350"/>
        <v>0</v>
      </c>
      <c r="DR710" s="3">
        <f t="shared" si="350"/>
        <v>0</v>
      </c>
      <c r="DS710" s="3">
        <f t="shared" si="350"/>
        <v>0</v>
      </c>
      <c r="DT710" s="3">
        <f t="shared" si="350"/>
        <v>0</v>
      </c>
      <c r="DU710" s="3">
        <f t="shared" si="350"/>
        <v>0</v>
      </c>
      <c r="DV710" s="3">
        <f t="shared" si="350"/>
        <v>0</v>
      </c>
      <c r="DW710" s="3">
        <f t="shared" si="350"/>
        <v>0</v>
      </c>
      <c r="DX710" s="3">
        <f t="shared" si="350"/>
        <v>0</v>
      </c>
      <c r="DY710" s="3">
        <f t="shared" si="350"/>
        <v>0</v>
      </c>
      <c r="DZ710" s="3">
        <f t="shared" si="350"/>
        <v>0</v>
      </c>
      <c r="EA710" s="3">
        <f t="shared" si="350"/>
        <v>0</v>
      </c>
      <c r="EB710" s="3">
        <f t="shared" si="350"/>
        <v>0</v>
      </c>
      <c r="EC710" s="3">
        <f t="shared" si="350"/>
        <v>0</v>
      </c>
      <c r="ED710" s="3">
        <f t="shared" si="350"/>
        <v>0</v>
      </c>
      <c r="EE710" s="3">
        <f t="shared" si="350"/>
        <v>0</v>
      </c>
      <c r="EF710" s="3">
        <f t="shared" si="350"/>
        <v>0</v>
      </c>
      <c r="EG710" s="3">
        <f t="shared" si="350"/>
        <v>0</v>
      </c>
      <c r="EH710" s="3">
        <f t="shared" si="350"/>
        <v>0</v>
      </c>
      <c r="EI710" s="3">
        <f t="shared" si="350"/>
        <v>0</v>
      </c>
      <c r="EJ710" s="3">
        <f t="shared" si="350"/>
        <v>0</v>
      </c>
      <c r="EK710" s="3">
        <f t="shared" si="350"/>
        <v>0</v>
      </c>
      <c r="EL710" s="3">
        <f t="shared" si="350"/>
        <v>0</v>
      </c>
      <c r="EM710" s="3">
        <f t="shared" ref="EM710:FR710" si="351">EM716</f>
        <v>0</v>
      </c>
      <c r="EN710" s="3">
        <f t="shared" si="351"/>
        <v>0</v>
      </c>
      <c r="EO710" s="3">
        <f t="shared" si="351"/>
        <v>0</v>
      </c>
      <c r="EP710" s="3">
        <f t="shared" si="351"/>
        <v>0</v>
      </c>
      <c r="EQ710" s="3">
        <f t="shared" si="351"/>
        <v>0</v>
      </c>
      <c r="ER710" s="3">
        <f t="shared" si="351"/>
        <v>0</v>
      </c>
      <c r="ES710" s="3">
        <f t="shared" si="351"/>
        <v>0</v>
      </c>
      <c r="ET710" s="3">
        <f t="shared" si="351"/>
        <v>0</v>
      </c>
      <c r="EU710" s="3">
        <f t="shared" si="351"/>
        <v>0</v>
      </c>
      <c r="EV710" s="3">
        <f t="shared" si="351"/>
        <v>0</v>
      </c>
      <c r="EW710" s="3">
        <f t="shared" si="351"/>
        <v>0</v>
      </c>
      <c r="EX710" s="3">
        <f t="shared" si="351"/>
        <v>0</v>
      </c>
      <c r="EY710" s="3">
        <f t="shared" si="351"/>
        <v>0</v>
      </c>
      <c r="EZ710" s="3">
        <f t="shared" si="351"/>
        <v>0</v>
      </c>
      <c r="FA710" s="3">
        <f t="shared" si="351"/>
        <v>0</v>
      </c>
      <c r="FB710" s="3">
        <f t="shared" si="351"/>
        <v>0</v>
      </c>
      <c r="FC710" s="3">
        <f t="shared" si="351"/>
        <v>0</v>
      </c>
      <c r="FD710" s="3">
        <f t="shared" si="351"/>
        <v>0</v>
      </c>
      <c r="FE710" s="3">
        <f t="shared" si="351"/>
        <v>0</v>
      </c>
      <c r="FF710" s="3">
        <f t="shared" si="351"/>
        <v>0</v>
      </c>
      <c r="FG710" s="3">
        <f t="shared" si="351"/>
        <v>0</v>
      </c>
      <c r="FH710" s="3">
        <f t="shared" si="351"/>
        <v>0</v>
      </c>
      <c r="FI710" s="3">
        <f t="shared" si="351"/>
        <v>0</v>
      </c>
      <c r="FJ710" s="3">
        <f t="shared" si="351"/>
        <v>0</v>
      </c>
      <c r="FK710" s="3">
        <f t="shared" si="351"/>
        <v>0</v>
      </c>
      <c r="FL710" s="3">
        <f t="shared" si="351"/>
        <v>0</v>
      </c>
      <c r="FM710" s="3">
        <f t="shared" si="351"/>
        <v>0</v>
      </c>
      <c r="FN710" s="3">
        <f t="shared" si="351"/>
        <v>0</v>
      </c>
      <c r="FO710" s="3">
        <f t="shared" si="351"/>
        <v>0</v>
      </c>
      <c r="FP710" s="3">
        <f t="shared" si="351"/>
        <v>0</v>
      </c>
      <c r="FQ710" s="3">
        <f t="shared" si="351"/>
        <v>0</v>
      </c>
      <c r="FR710" s="3">
        <f t="shared" si="351"/>
        <v>0</v>
      </c>
      <c r="FS710" s="3">
        <f t="shared" ref="FS710:GX710" si="352">FS716</f>
        <v>0</v>
      </c>
      <c r="FT710" s="3">
        <f t="shared" si="352"/>
        <v>0</v>
      </c>
      <c r="FU710" s="3">
        <f t="shared" si="352"/>
        <v>0</v>
      </c>
      <c r="FV710" s="3">
        <f t="shared" si="352"/>
        <v>0</v>
      </c>
      <c r="FW710" s="3">
        <f t="shared" si="352"/>
        <v>0</v>
      </c>
      <c r="FX710" s="3">
        <f t="shared" si="352"/>
        <v>0</v>
      </c>
      <c r="FY710" s="3">
        <f t="shared" si="352"/>
        <v>0</v>
      </c>
      <c r="FZ710" s="3">
        <f t="shared" si="352"/>
        <v>0</v>
      </c>
      <c r="GA710" s="3">
        <f t="shared" si="352"/>
        <v>0</v>
      </c>
      <c r="GB710" s="3">
        <f t="shared" si="352"/>
        <v>0</v>
      </c>
      <c r="GC710" s="3">
        <f t="shared" si="352"/>
        <v>0</v>
      </c>
      <c r="GD710" s="3">
        <f t="shared" si="352"/>
        <v>0</v>
      </c>
      <c r="GE710" s="3">
        <f t="shared" si="352"/>
        <v>0</v>
      </c>
      <c r="GF710" s="3">
        <f t="shared" si="352"/>
        <v>0</v>
      </c>
      <c r="GG710" s="3">
        <f t="shared" si="352"/>
        <v>0</v>
      </c>
      <c r="GH710" s="3">
        <f t="shared" si="352"/>
        <v>0</v>
      </c>
      <c r="GI710" s="3">
        <f t="shared" si="352"/>
        <v>0</v>
      </c>
      <c r="GJ710" s="3">
        <f t="shared" si="352"/>
        <v>0</v>
      </c>
      <c r="GK710" s="3">
        <f t="shared" si="352"/>
        <v>0</v>
      </c>
      <c r="GL710" s="3">
        <f t="shared" si="352"/>
        <v>0</v>
      </c>
      <c r="GM710" s="3">
        <f t="shared" si="352"/>
        <v>0</v>
      </c>
      <c r="GN710" s="3">
        <f t="shared" si="352"/>
        <v>0</v>
      </c>
      <c r="GO710" s="3">
        <f t="shared" si="352"/>
        <v>0</v>
      </c>
      <c r="GP710" s="3">
        <f t="shared" si="352"/>
        <v>0</v>
      </c>
      <c r="GQ710" s="3">
        <f t="shared" si="352"/>
        <v>0</v>
      </c>
      <c r="GR710" s="3">
        <f t="shared" si="352"/>
        <v>0</v>
      </c>
      <c r="GS710" s="3">
        <f t="shared" si="352"/>
        <v>0</v>
      </c>
      <c r="GT710" s="3">
        <f t="shared" si="352"/>
        <v>0</v>
      </c>
      <c r="GU710" s="3">
        <f t="shared" si="352"/>
        <v>0</v>
      </c>
      <c r="GV710" s="3">
        <f t="shared" si="352"/>
        <v>0</v>
      </c>
      <c r="GW710" s="3">
        <f t="shared" si="352"/>
        <v>0</v>
      </c>
      <c r="GX710" s="3">
        <f t="shared" si="352"/>
        <v>0</v>
      </c>
    </row>
    <row r="712" spans="1:245" x14ac:dyDescent="0.2">
      <c r="A712">
        <v>17</v>
      </c>
      <c r="B712">
        <v>1</v>
      </c>
      <c r="C712">
        <f>ROW(SmtRes!A344)</f>
        <v>344</v>
      </c>
      <c r="D712">
        <f>ROW(EtalonRes!A313)</f>
        <v>313</v>
      </c>
      <c r="E712" t="s">
        <v>342</v>
      </c>
      <c r="F712" t="s">
        <v>17</v>
      </c>
      <c r="G712" t="s">
        <v>18</v>
      </c>
      <c r="H712" t="s">
        <v>19</v>
      </c>
      <c r="I712">
        <f>ROUND(7.5/100,9)</f>
        <v>7.4999999999999997E-2</v>
      </c>
      <c r="J712">
        <v>0</v>
      </c>
      <c r="O712">
        <f>ROUND(CP712,2)</f>
        <v>141.21</v>
      </c>
      <c r="P712">
        <f>ROUND(CQ712*I712,2)</f>
        <v>0</v>
      </c>
      <c r="Q712">
        <f>ROUND(CR712*I712,2)</f>
        <v>0.48</v>
      </c>
      <c r="R712">
        <f>ROUND(CS712*I712,2)</f>
        <v>0.05</v>
      </c>
      <c r="S712">
        <f>ROUND(CT712*I712,2)</f>
        <v>140.72999999999999</v>
      </c>
      <c r="T712">
        <f>ROUND(CU712*I712,2)</f>
        <v>0</v>
      </c>
      <c r="U712">
        <f>CV712*I712</f>
        <v>0.54690000000000005</v>
      </c>
      <c r="V712">
        <f>CW712*I712</f>
        <v>0</v>
      </c>
      <c r="W712">
        <f>ROUND(CX712*I712,2)</f>
        <v>0</v>
      </c>
      <c r="X712">
        <f t="shared" ref="X712:Y714" si="353">ROUND(CY712,2)</f>
        <v>98.51</v>
      </c>
      <c r="Y712">
        <f t="shared" si="353"/>
        <v>14.07</v>
      </c>
      <c r="AA712">
        <v>38799519</v>
      </c>
      <c r="AB712">
        <f>ROUND((AC712+AD712+AF712),6)</f>
        <v>1882.816</v>
      </c>
      <c r="AC712">
        <f>ROUND(((ES712*0)),6)</f>
        <v>0</v>
      </c>
      <c r="AD712">
        <f>ROUND(((((ET712*0.2))-((EU712*0.2)))+AE712),6)</f>
        <v>6.3659999999999997</v>
      </c>
      <c r="AE712">
        <f>ROUND(((EU712*0.2)),6)</f>
        <v>0.68400000000000005</v>
      </c>
      <c r="AF712">
        <f>ROUND(((EV712*0.2)),6)</f>
        <v>1876.45</v>
      </c>
      <c r="AG712">
        <f>ROUND((AP712),6)</f>
        <v>0</v>
      </c>
      <c r="AH712">
        <f>((EW712*0.2))</f>
        <v>7.2920000000000007</v>
      </c>
      <c r="AI712">
        <f>((EX712*0.2))</f>
        <v>0</v>
      </c>
      <c r="AJ712">
        <f>(AS712)</f>
        <v>0</v>
      </c>
      <c r="AK712">
        <v>50337.93</v>
      </c>
      <c r="AL712">
        <v>40923.85</v>
      </c>
      <c r="AM712">
        <v>31.83</v>
      </c>
      <c r="AN712">
        <v>3.42</v>
      </c>
      <c r="AO712">
        <v>9382.25</v>
      </c>
      <c r="AP712">
        <v>0</v>
      </c>
      <c r="AQ712">
        <v>36.46</v>
      </c>
      <c r="AR712">
        <v>0</v>
      </c>
      <c r="AS712">
        <v>0</v>
      </c>
      <c r="AT712">
        <v>70</v>
      </c>
      <c r="AU712">
        <v>10</v>
      </c>
      <c r="AV712">
        <v>1</v>
      </c>
      <c r="AW712">
        <v>1</v>
      </c>
      <c r="AZ712">
        <v>1</v>
      </c>
      <c r="BA712">
        <v>1</v>
      </c>
      <c r="BB712">
        <v>1</v>
      </c>
      <c r="BC712">
        <v>1</v>
      </c>
      <c r="BD712" t="s">
        <v>3</v>
      </c>
      <c r="BE712" t="s">
        <v>3</v>
      </c>
      <c r="BF712" t="s">
        <v>3</v>
      </c>
      <c r="BG712" t="s">
        <v>3</v>
      </c>
      <c r="BH712">
        <v>0</v>
      </c>
      <c r="BI712">
        <v>4</v>
      </c>
      <c r="BJ712" t="s">
        <v>20</v>
      </c>
      <c r="BM712">
        <v>0</v>
      </c>
      <c r="BN712">
        <v>0</v>
      </c>
      <c r="BO712" t="s">
        <v>3</v>
      </c>
      <c r="BP712">
        <v>0</v>
      </c>
      <c r="BQ712">
        <v>1</v>
      </c>
      <c r="BR712">
        <v>0</v>
      </c>
      <c r="BS712">
        <v>1</v>
      </c>
      <c r="BT712">
        <v>1</v>
      </c>
      <c r="BU712">
        <v>1</v>
      </c>
      <c r="BV712">
        <v>1</v>
      </c>
      <c r="BW712">
        <v>1</v>
      </c>
      <c r="BX712">
        <v>1</v>
      </c>
      <c r="BY712" t="s">
        <v>3</v>
      </c>
      <c r="BZ712">
        <v>70</v>
      </c>
      <c r="CA712">
        <v>10</v>
      </c>
      <c r="CE712">
        <v>0</v>
      </c>
      <c r="CF712">
        <v>0</v>
      </c>
      <c r="CG712">
        <v>0</v>
      </c>
      <c r="CM712">
        <v>0</v>
      </c>
      <c r="CN712" t="s">
        <v>657</v>
      </c>
      <c r="CO712">
        <v>0</v>
      </c>
      <c r="CP712">
        <f>(P712+Q712+S712)</f>
        <v>141.20999999999998</v>
      </c>
      <c r="CQ712">
        <f>(AC712*BC712*AW712)</f>
        <v>0</v>
      </c>
      <c r="CR712">
        <f>(((((ET712*0.2))*BB712-((EU712*0.2))*BS712)+AE712*BS712)*AV712)</f>
        <v>6.3659999999999997</v>
      </c>
      <c r="CS712">
        <f>(AE712*BS712*AV712)</f>
        <v>0.68400000000000005</v>
      </c>
      <c r="CT712">
        <f>(AF712*BA712*AV712)</f>
        <v>1876.45</v>
      </c>
      <c r="CU712">
        <f>AG712</f>
        <v>0</v>
      </c>
      <c r="CV712">
        <f>(AH712*AV712)</f>
        <v>7.2920000000000007</v>
      </c>
      <c r="CW712">
        <f t="shared" ref="CW712:CX714" si="354">AI712</f>
        <v>0</v>
      </c>
      <c r="CX712">
        <f t="shared" si="354"/>
        <v>0</v>
      </c>
      <c r="CY712">
        <f>((S712*BZ712)/100)</f>
        <v>98.510999999999981</v>
      </c>
      <c r="CZ712">
        <f>((S712*CA712)/100)</f>
        <v>14.073</v>
      </c>
      <c r="DC712" t="s">
        <v>3</v>
      </c>
      <c r="DD712" t="s">
        <v>21</v>
      </c>
      <c r="DE712" t="s">
        <v>22</v>
      </c>
      <c r="DF712" t="s">
        <v>22</v>
      </c>
      <c r="DG712" t="s">
        <v>22</v>
      </c>
      <c r="DH712" t="s">
        <v>3</v>
      </c>
      <c r="DI712" t="s">
        <v>22</v>
      </c>
      <c r="DJ712" t="s">
        <v>22</v>
      </c>
      <c r="DK712" t="s">
        <v>3</v>
      </c>
      <c r="DL712" t="s">
        <v>3</v>
      </c>
      <c r="DM712" t="s">
        <v>3</v>
      </c>
      <c r="DN712">
        <v>0</v>
      </c>
      <c r="DO712">
        <v>0</v>
      </c>
      <c r="DP712">
        <v>1</v>
      </c>
      <c r="DQ712">
        <v>1</v>
      </c>
      <c r="DU712">
        <v>1005</v>
      </c>
      <c r="DV712" t="s">
        <v>19</v>
      </c>
      <c r="DW712" t="s">
        <v>19</v>
      </c>
      <c r="DX712">
        <v>100</v>
      </c>
      <c r="EE712">
        <v>38447819</v>
      </c>
      <c r="EF712">
        <v>1</v>
      </c>
      <c r="EG712" t="s">
        <v>23</v>
      </c>
      <c r="EH712">
        <v>0</v>
      </c>
      <c r="EI712" t="s">
        <v>3</v>
      </c>
      <c r="EJ712">
        <v>4</v>
      </c>
      <c r="EK712">
        <v>0</v>
      </c>
      <c r="EL712" t="s">
        <v>24</v>
      </c>
      <c r="EM712" t="s">
        <v>25</v>
      </c>
      <c r="EO712" t="s">
        <v>26</v>
      </c>
      <c r="EQ712">
        <v>0</v>
      </c>
      <c r="ER712">
        <v>50337.93</v>
      </c>
      <c r="ES712">
        <v>40923.85</v>
      </c>
      <c r="ET712">
        <v>31.83</v>
      </c>
      <c r="EU712">
        <v>3.42</v>
      </c>
      <c r="EV712">
        <v>9382.25</v>
      </c>
      <c r="EW712">
        <v>36.46</v>
      </c>
      <c r="EX712">
        <v>0</v>
      </c>
      <c r="EY712">
        <v>0</v>
      </c>
      <c r="FQ712">
        <v>0</v>
      </c>
      <c r="FR712">
        <f>ROUND(IF(AND(BH712=3,BI712=3),P712,0),2)</f>
        <v>0</v>
      </c>
      <c r="FS712">
        <v>0</v>
      </c>
      <c r="FX712">
        <v>70</v>
      </c>
      <c r="FY712">
        <v>10</v>
      </c>
      <c r="GA712" t="s">
        <v>3</v>
      </c>
      <c r="GD712">
        <v>0</v>
      </c>
      <c r="GF712">
        <v>-1650701133</v>
      </c>
      <c r="GG712">
        <v>2</v>
      </c>
      <c r="GH712">
        <v>1</v>
      </c>
      <c r="GI712">
        <v>-2</v>
      </c>
      <c r="GJ712">
        <v>0</v>
      </c>
      <c r="GK712">
        <f>ROUND(R712*(R12)/100,2)</f>
        <v>0.05</v>
      </c>
      <c r="GL712">
        <f>ROUND(IF(AND(BH712=3,BI712=3,FS712&lt;&gt;0),P712,0),2)</f>
        <v>0</v>
      </c>
      <c r="GM712">
        <f>ROUND(O712+X712+Y712+GK712,2)+GX712</f>
        <v>253.84</v>
      </c>
      <c r="GN712">
        <f>IF(OR(BI712=0,BI712=1),ROUND(O712+X712+Y712+GK712,2),0)</f>
        <v>0</v>
      </c>
      <c r="GO712">
        <f>IF(BI712=2,ROUND(O712+X712+Y712+GK712,2),0)</f>
        <v>0</v>
      </c>
      <c r="GP712">
        <f>IF(BI712=4,ROUND(O712+X712+Y712+GK712,2)+GX712,0)</f>
        <v>253.84</v>
      </c>
      <c r="GR712">
        <v>0</v>
      </c>
      <c r="GS712">
        <v>3</v>
      </c>
      <c r="GT712">
        <v>0</v>
      </c>
      <c r="GU712" t="s">
        <v>3</v>
      </c>
      <c r="GV712">
        <f>ROUND((GT712),6)</f>
        <v>0</v>
      </c>
      <c r="GW712">
        <v>1</v>
      </c>
      <c r="GX712">
        <f>ROUND(HC712*I712,2)</f>
        <v>0</v>
      </c>
      <c r="HA712">
        <v>0</v>
      </c>
      <c r="HB712">
        <v>0</v>
      </c>
      <c r="HC712">
        <f>GV712*GW712</f>
        <v>0</v>
      </c>
      <c r="HE712" t="s">
        <v>3</v>
      </c>
      <c r="HF712" t="s">
        <v>3</v>
      </c>
      <c r="IK712">
        <v>0</v>
      </c>
    </row>
    <row r="713" spans="1:245" x14ac:dyDescent="0.2">
      <c r="A713">
        <v>17</v>
      </c>
      <c r="B713">
        <v>1</v>
      </c>
      <c r="C713">
        <f>ROW(SmtRes!A349)</f>
        <v>349</v>
      </c>
      <c r="D713">
        <f>ROW(EtalonRes!A318)</f>
        <v>318</v>
      </c>
      <c r="E713" t="s">
        <v>343</v>
      </c>
      <c r="F713" t="s">
        <v>257</v>
      </c>
      <c r="G713" t="s">
        <v>258</v>
      </c>
      <c r="H713" t="s">
        <v>155</v>
      </c>
      <c r="I713">
        <v>0.25</v>
      </c>
      <c r="J713">
        <v>0</v>
      </c>
      <c r="O713">
        <f>ROUND(CP713,2)</f>
        <v>1457.66</v>
      </c>
      <c r="P713">
        <f>ROUND(CQ713*I713,2)</f>
        <v>0</v>
      </c>
      <c r="Q713">
        <f>ROUND(CR713*I713,2)</f>
        <v>37.200000000000003</v>
      </c>
      <c r="R713">
        <f>ROUND(CS713*I713,2)</f>
        <v>1.62</v>
      </c>
      <c r="S713">
        <f>ROUND(CT713*I713,2)</f>
        <v>1420.46</v>
      </c>
      <c r="T713">
        <f>ROUND(CU713*I713,2)</f>
        <v>0</v>
      </c>
      <c r="U713">
        <f>CV713*I713</f>
        <v>5.5200000000000005</v>
      </c>
      <c r="V713">
        <f>CW713*I713</f>
        <v>0</v>
      </c>
      <c r="W713">
        <f>ROUND(CX713*I713,2)</f>
        <v>0</v>
      </c>
      <c r="X713">
        <f t="shared" si="353"/>
        <v>994.32</v>
      </c>
      <c r="Y713">
        <f t="shared" si="353"/>
        <v>142.05000000000001</v>
      </c>
      <c r="AA713">
        <v>38799519</v>
      </c>
      <c r="AB713">
        <f>ROUND((AC713+AD713+AF713),6)</f>
        <v>5830.6459999999997</v>
      </c>
      <c r="AC713">
        <f>ROUND(((ES713*0)),6)</f>
        <v>0</v>
      </c>
      <c r="AD713">
        <f>ROUND(((((ET713*0.2))-((EU713*0.2)))+AE713),6)</f>
        <v>148.80000000000001</v>
      </c>
      <c r="AE713">
        <f>ROUND(((EU713*0.2)),6)</f>
        <v>6.48</v>
      </c>
      <c r="AF713">
        <f>ROUND(((EV713*0.2)),6)</f>
        <v>5681.8459999999995</v>
      </c>
      <c r="AG713">
        <f>ROUND((AP713),6)</f>
        <v>0</v>
      </c>
      <c r="AH713">
        <f>((EW713*0.2))</f>
        <v>22.080000000000002</v>
      </c>
      <c r="AI713">
        <f>((EX713*0.2))</f>
        <v>0</v>
      </c>
      <c r="AJ713">
        <f>(AS713)</f>
        <v>0</v>
      </c>
      <c r="AK713">
        <v>109622.76</v>
      </c>
      <c r="AL713">
        <v>80469.53</v>
      </c>
      <c r="AM713">
        <v>744</v>
      </c>
      <c r="AN713">
        <v>32.4</v>
      </c>
      <c r="AO713">
        <v>28409.23</v>
      </c>
      <c r="AP713">
        <v>0</v>
      </c>
      <c r="AQ713">
        <v>110.4</v>
      </c>
      <c r="AR713">
        <v>0</v>
      </c>
      <c r="AS713">
        <v>0</v>
      </c>
      <c r="AT713">
        <v>70</v>
      </c>
      <c r="AU713">
        <v>10</v>
      </c>
      <c r="AV713">
        <v>1</v>
      </c>
      <c r="AW713">
        <v>1</v>
      </c>
      <c r="AZ713">
        <v>1</v>
      </c>
      <c r="BA713">
        <v>1</v>
      </c>
      <c r="BB713">
        <v>1</v>
      </c>
      <c r="BC713">
        <v>1</v>
      </c>
      <c r="BD713" t="s">
        <v>3</v>
      </c>
      <c r="BE713" t="s">
        <v>3</v>
      </c>
      <c r="BF713" t="s">
        <v>3</v>
      </c>
      <c r="BG713" t="s">
        <v>3</v>
      </c>
      <c r="BH713">
        <v>0</v>
      </c>
      <c r="BI713">
        <v>4</v>
      </c>
      <c r="BJ713" t="s">
        <v>259</v>
      </c>
      <c r="BM713">
        <v>0</v>
      </c>
      <c r="BN713">
        <v>0</v>
      </c>
      <c r="BO713" t="s">
        <v>3</v>
      </c>
      <c r="BP713">
        <v>0</v>
      </c>
      <c r="BQ713">
        <v>1</v>
      </c>
      <c r="BR713">
        <v>0</v>
      </c>
      <c r="BS713">
        <v>1</v>
      </c>
      <c r="BT713">
        <v>1</v>
      </c>
      <c r="BU713">
        <v>1</v>
      </c>
      <c r="BV713">
        <v>1</v>
      </c>
      <c r="BW713">
        <v>1</v>
      </c>
      <c r="BX713">
        <v>1</v>
      </c>
      <c r="BY713" t="s">
        <v>3</v>
      </c>
      <c r="BZ713">
        <v>70</v>
      </c>
      <c r="CA713">
        <v>10</v>
      </c>
      <c r="CE713">
        <v>0</v>
      </c>
      <c r="CF713">
        <v>0</v>
      </c>
      <c r="CG713">
        <v>0</v>
      </c>
      <c r="CM713">
        <v>0</v>
      </c>
      <c r="CN713" t="s">
        <v>657</v>
      </c>
      <c r="CO713">
        <v>0</v>
      </c>
      <c r="CP713">
        <f>(P713+Q713+S713)</f>
        <v>1457.66</v>
      </c>
      <c r="CQ713">
        <f>(AC713*BC713*AW713)</f>
        <v>0</v>
      </c>
      <c r="CR713">
        <f>(((((ET713*0.2))*BB713-((EU713*0.2))*BS713)+AE713*BS713)*AV713)</f>
        <v>148.80000000000001</v>
      </c>
      <c r="CS713">
        <f>(AE713*BS713*AV713)</f>
        <v>6.48</v>
      </c>
      <c r="CT713">
        <f>(AF713*BA713*AV713)</f>
        <v>5681.8459999999995</v>
      </c>
      <c r="CU713">
        <f>AG713</f>
        <v>0</v>
      </c>
      <c r="CV713">
        <f>(AH713*AV713)</f>
        <v>22.080000000000002</v>
      </c>
      <c r="CW713">
        <f t="shared" si="354"/>
        <v>0</v>
      </c>
      <c r="CX713">
        <f t="shared" si="354"/>
        <v>0</v>
      </c>
      <c r="CY713">
        <f>((S713*BZ713)/100)</f>
        <v>994.322</v>
      </c>
      <c r="CZ713">
        <f>((S713*CA713)/100)</f>
        <v>142.04599999999999</v>
      </c>
      <c r="DC713" t="s">
        <v>3</v>
      </c>
      <c r="DD713" t="s">
        <v>21</v>
      </c>
      <c r="DE713" t="s">
        <v>22</v>
      </c>
      <c r="DF713" t="s">
        <v>22</v>
      </c>
      <c r="DG713" t="s">
        <v>22</v>
      </c>
      <c r="DH713" t="s">
        <v>3</v>
      </c>
      <c r="DI713" t="s">
        <v>22</v>
      </c>
      <c r="DJ713" t="s">
        <v>22</v>
      </c>
      <c r="DK713" t="s">
        <v>3</v>
      </c>
      <c r="DL713" t="s">
        <v>3</v>
      </c>
      <c r="DM713" t="s">
        <v>3</v>
      </c>
      <c r="DN713">
        <v>0</v>
      </c>
      <c r="DO713">
        <v>0</v>
      </c>
      <c r="DP713">
        <v>1</v>
      </c>
      <c r="DQ713">
        <v>1</v>
      </c>
      <c r="DU713">
        <v>1009</v>
      </c>
      <c r="DV713" t="s">
        <v>155</v>
      </c>
      <c r="DW713" t="s">
        <v>155</v>
      </c>
      <c r="DX713">
        <v>1000</v>
      </c>
      <c r="EE713">
        <v>38447819</v>
      </c>
      <c r="EF713">
        <v>1</v>
      </c>
      <c r="EG713" t="s">
        <v>23</v>
      </c>
      <c r="EH713">
        <v>0</v>
      </c>
      <c r="EI713" t="s">
        <v>3</v>
      </c>
      <c r="EJ713">
        <v>4</v>
      </c>
      <c r="EK713">
        <v>0</v>
      </c>
      <c r="EL713" t="s">
        <v>24</v>
      </c>
      <c r="EM713" t="s">
        <v>25</v>
      </c>
      <c r="EO713" t="s">
        <v>26</v>
      </c>
      <c r="EQ713">
        <v>0</v>
      </c>
      <c r="ER713">
        <v>109622.76</v>
      </c>
      <c r="ES713">
        <v>80469.53</v>
      </c>
      <c r="ET713">
        <v>744</v>
      </c>
      <c r="EU713">
        <v>32.4</v>
      </c>
      <c r="EV713">
        <v>28409.23</v>
      </c>
      <c r="EW713">
        <v>110.4</v>
      </c>
      <c r="EX713">
        <v>0</v>
      </c>
      <c r="EY713">
        <v>0</v>
      </c>
      <c r="FQ713">
        <v>0</v>
      </c>
      <c r="FR713">
        <f>ROUND(IF(AND(BH713=3,BI713=3),P713,0),2)</f>
        <v>0</v>
      </c>
      <c r="FS713">
        <v>0</v>
      </c>
      <c r="FX713">
        <v>70</v>
      </c>
      <c r="FY713">
        <v>10</v>
      </c>
      <c r="GA713" t="s">
        <v>3</v>
      </c>
      <c r="GD713">
        <v>0</v>
      </c>
      <c r="GF713">
        <v>-1198396677</v>
      </c>
      <c r="GG713">
        <v>2</v>
      </c>
      <c r="GH713">
        <v>1</v>
      </c>
      <c r="GI713">
        <v>-2</v>
      </c>
      <c r="GJ713">
        <v>0</v>
      </c>
      <c r="GK713">
        <f>ROUND(R713*(R12)/100,2)</f>
        <v>1.75</v>
      </c>
      <c r="GL713">
        <f>ROUND(IF(AND(BH713=3,BI713=3,FS713&lt;&gt;0),P713,0),2)</f>
        <v>0</v>
      </c>
      <c r="GM713">
        <f>ROUND(O713+X713+Y713+GK713,2)+GX713</f>
        <v>2595.7800000000002</v>
      </c>
      <c r="GN713">
        <f>IF(OR(BI713=0,BI713=1),ROUND(O713+X713+Y713+GK713,2),0)</f>
        <v>0</v>
      </c>
      <c r="GO713">
        <f>IF(BI713=2,ROUND(O713+X713+Y713+GK713,2),0)</f>
        <v>0</v>
      </c>
      <c r="GP713">
        <f>IF(BI713=4,ROUND(O713+X713+Y713+GK713,2)+GX713,0)</f>
        <v>2595.7800000000002</v>
      </c>
      <c r="GR713">
        <v>0</v>
      </c>
      <c r="GS713">
        <v>3</v>
      </c>
      <c r="GT713">
        <v>0</v>
      </c>
      <c r="GU713" t="s">
        <v>3</v>
      </c>
      <c r="GV713">
        <f>ROUND((GT713),6)</f>
        <v>0</v>
      </c>
      <c r="GW713">
        <v>1</v>
      </c>
      <c r="GX713">
        <f>ROUND(HC713*I713,2)</f>
        <v>0</v>
      </c>
      <c r="HA713">
        <v>0</v>
      </c>
      <c r="HB713">
        <v>0</v>
      </c>
      <c r="HC713">
        <f>GV713*GW713</f>
        <v>0</v>
      </c>
      <c r="HE713" t="s">
        <v>3</v>
      </c>
      <c r="HF713" t="s">
        <v>3</v>
      </c>
      <c r="IK713">
        <v>0</v>
      </c>
    </row>
    <row r="714" spans="1:245" x14ac:dyDescent="0.2">
      <c r="A714">
        <v>17</v>
      </c>
      <c r="B714">
        <v>1</v>
      </c>
      <c r="C714">
        <f>ROW(SmtRes!A353)</f>
        <v>353</v>
      </c>
      <c r="D714">
        <f>ROW(EtalonRes!A322)</f>
        <v>322</v>
      </c>
      <c r="E714" t="s">
        <v>344</v>
      </c>
      <c r="F714" t="s">
        <v>261</v>
      </c>
      <c r="G714" t="s">
        <v>262</v>
      </c>
      <c r="H714" t="s">
        <v>155</v>
      </c>
      <c r="I714">
        <v>0.05</v>
      </c>
      <c r="J714">
        <v>0</v>
      </c>
      <c r="O714">
        <f>ROUND(CP714,2)</f>
        <v>407.29</v>
      </c>
      <c r="P714">
        <f>ROUND(CQ714*I714,2)</f>
        <v>0</v>
      </c>
      <c r="Q714">
        <f>ROUND(CR714*I714,2)</f>
        <v>4.7300000000000004</v>
      </c>
      <c r="R714">
        <f>ROUND(CS714*I714,2)</f>
        <v>0.08</v>
      </c>
      <c r="S714">
        <f>ROUND(CT714*I714,2)</f>
        <v>402.56</v>
      </c>
      <c r="T714">
        <f>ROUND(CU714*I714,2)</f>
        <v>0</v>
      </c>
      <c r="U714">
        <f>CV714*I714</f>
        <v>1.9489999999999998</v>
      </c>
      <c r="V714">
        <f>CW714*I714</f>
        <v>0</v>
      </c>
      <c r="W714">
        <f>ROUND(CX714*I714,2)</f>
        <v>0</v>
      </c>
      <c r="X714">
        <f t="shared" si="353"/>
        <v>281.79000000000002</v>
      </c>
      <c r="Y714">
        <f t="shared" si="353"/>
        <v>40.26</v>
      </c>
      <c r="AA714">
        <v>38799519</v>
      </c>
      <c r="AB714">
        <f>ROUND((AC714+AD714+AF714),6)</f>
        <v>8145.86</v>
      </c>
      <c r="AC714">
        <f>ROUND((ES714),6)</f>
        <v>0</v>
      </c>
      <c r="AD714">
        <f>ROUND((((ET714)-(EU714))+AE714),6)</f>
        <v>94.69</v>
      </c>
      <c r="AE714">
        <f>ROUND((EU714),6)</f>
        <v>1.69</v>
      </c>
      <c r="AF714">
        <f>ROUND((EV714),6)</f>
        <v>8051.17</v>
      </c>
      <c r="AG714">
        <f>ROUND((AP714),6)</f>
        <v>0</v>
      </c>
      <c r="AH714">
        <f>(EW714)</f>
        <v>38.979999999999997</v>
      </c>
      <c r="AI714">
        <f>(EX714)</f>
        <v>0</v>
      </c>
      <c r="AJ714">
        <f>(AS714)</f>
        <v>0</v>
      </c>
      <c r="AK714">
        <v>8145.86</v>
      </c>
      <c r="AL714">
        <v>0</v>
      </c>
      <c r="AM714">
        <v>94.69</v>
      </c>
      <c r="AN714">
        <v>1.69</v>
      </c>
      <c r="AO714">
        <v>8051.17</v>
      </c>
      <c r="AP714">
        <v>0</v>
      </c>
      <c r="AQ714">
        <v>38.979999999999997</v>
      </c>
      <c r="AR714">
        <v>0</v>
      </c>
      <c r="AS714">
        <v>0</v>
      </c>
      <c r="AT714">
        <v>70</v>
      </c>
      <c r="AU714">
        <v>10</v>
      </c>
      <c r="AV714">
        <v>1</v>
      </c>
      <c r="AW714">
        <v>1</v>
      </c>
      <c r="AZ714">
        <v>1</v>
      </c>
      <c r="BA714">
        <v>1</v>
      </c>
      <c r="BB714">
        <v>1</v>
      </c>
      <c r="BC714">
        <v>1</v>
      </c>
      <c r="BD714" t="s">
        <v>3</v>
      </c>
      <c r="BE714" t="s">
        <v>3</v>
      </c>
      <c r="BF714" t="s">
        <v>3</v>
      </c>
      <c r="BG714" t="s">
        <v>3</v>
      </c>
      <c r="BH714">
        <v>0</v>
      </c>
      <c r="BI714">
        <v>4</v>
      </c>
      <c r="BJ714" t="s">
        <v>263</v>
      </c>
      <c r="BM714">
        <v>0</v>
      </c>
      <c r="BN714">
        <v>0</v>
      </c>
      <c r="BO714" t="s">
        <v>3</v>
      </c>
      <c r="BP714">
        <v>0</v>
      </c>
      <c r="BQ714">
        <v>1</v>
      </c>
      <c r="BR714">
        <v>0</v>
      </c>
      <c r="BS714">
        <v>1</v>
      </c>
      <c r="BT714">
        <v>1</v>
      </c>
      <c r="BU714">
        <v>1</v>
      </c>
      <c r="BV714">
        <v>1</v>
      </c>
      <c r="BW714">
        <v>1</v>
      </c>
      <c r="BX714">
        <v>1</v>
      </c>
      <c r="BY714" t="s">
        <v>3</v>
      </c>
      <c r="BZ714">
        <v>70</v>
      </c>
      <c r="CA714">
        <v>10</v>
      </c>
      <c r="CE714">
        <v>0</v>
      </c>
      <c r="CF714">
        <v>0</v>
      </c>
      <c r="CG714">
        <v>0</v>
      </c>
      <c r="CM714">
        <v>0</v>
      </c>
      <c r="CN714" t="s">
        <v>3</v>
      </c>
      <c r="CO714">
        <v>0</v>
      </c>
      <c r="CP714">
        <f>(P714+Q714+S714)</f>
        <v>407.29</v>
      </c>
      <c r="CQ714">
        <f>(AC714*BC714*AW714)</f>
        <v>0</v>
      </c>
      <c r="CR714">
        <f>((((ET714)*BB714-(EU714)*BS714)+AE714*BS714)*AV714)</f>
        <v>94.69</v>
      </c>
      <c r="CS714">
        <f>(AE714*BS714*AV714)</f>
        <v>1.69</v>
      </c>
      <c r="CT714">
        <f>(AF714*BA714*AV714)</f>
        <v>8051.17</v>
      </c>
      <c r="CU714">
        <f>AG714</f>
        <v>0</v>
      </c>
      <c r="CV714">
        <f>(AH714*AV714)</f>
        <v>38.979999999999997</v>
      </c>
      <c r="CW714">
        <f t="shared" si="354"/>
        <v>0</v>
      </c>
      <c r="CX714">
        <f t="shared" si="354"/>
        <v>0</v>
      </c>
      <c r="CY714">
        <f>((S714*BZ714)/100)</f>
        <v>281.79200000000003</v>
      </c>
      <c r="CZ714">
        <f>((S714*CA714)/100)</f>
        <v>40.256</v>
      </c>
      <c r="DC714" t="s">
        <v>3</v>
      </c>
      <c r="DD714" t="s">
        <v>3</v>
      </c>
      <c r="DE714" t="s">
        <v>3</v>
      </c>
      <c r="DF714" t="s">
        <v>3</v>
      </c>
      <c r="DG714" t="s">
        <v>3</v>
      </c>
      <c r="DH714" t="s">
        <v>3</v>
      </c>
      <c r="DI714" t="s">
        <v>3</v>
      </c>
      <c r="DJ714" t="s">
        <v>3</v>
      </c>
      <c r="DK714" t="s">
        <v>3</v>
      </c>
      <c r="DL714" t="s">
        <v>3</v>
      </c>
      <c r="DM714" t="s">
        <v>3</v>
      </c>
      <c r="DN714">
        <v>0</v>
      </c>
      <c r="DO714">
        <v>0</v>
      </c>
      <c r="DP714">
        <v>1</v>
      </c>
      <c r="DQ714">
        <v>1</v>
      </c>
      <c r="DU714">
        <v>1009</v>
      </c>
      <c r="DV714" t="s">
        <v>155</v>
      </c>
      <c r="DW714" t="s">
        <v>155</v>
      </c>
      <c r="DX714">
        <v>1000</v>
      </c>
      <c r="EE714">
        <v>38447819</v>
      </c>
      <c r="EF714">
        <v>1</v>
      </c>
      <c r="EG714" t="s">
        <v>23</v>
      </c>
      <c r="EH714">
        <v>0</v>
      </c>
      <c r="EI714" t="s">
        <v>3</v>
      </c>
      <c r="EJ714">
        <v>4</v>
      </c>
      <c r="EK714">
        <v>0</v>
      </c>
      <c r="EL714" t="s">
        <v>24</v>
      </c>
      <c r="EM714" t="s">
        <v>25</v>
      </c>
      <c r="EO714" t="s">
        <v>3</v>
      </c>
      <c r="EQ714">
        <v>0</v>
      </c>
      <c r="ER714">
        <v>8145.86</v>
      </c>
      <c r="ES714">
        <v>0</v>
      </c>
      <c r="ET714">
        <v>94.69</v>
      </c>
      <c r="EU714">
        <v>1.69</v>
      </c>
      <c r="EV714">
        <v>8051.17</v>
      </c>
      <c r="EW714">
        <v>38.979999999999997</v>
      </c>
      <c r="EX714">
        <v>0</v>
      </c>
      <c r="EY714">
        <v>0</v>
      </c>
      <c r="FQ714">
        <v>0</v>
      </c>
      <c r="FR714">
        <f>ROUND(IF(AND(BH714=3,BI714=3),P714,0),2)</f>
        <v>0</v>
      </c>
      <c r="FS714">
        <v>0</v>
      </c>
      <c r="FX714">
        <v>70</v>
      </c>
      <c r="FY714">
        <v>10</v>
      </c>
      <c r="GA714" t="s">
        <v>3</v>
      </c>
      <c r="GD714">
        <v>0</v>
      </c>
      <c r="GF714">
        <v>851002580</v>
      </c>
      <c r="GG714">
        <v>2</v>
      </c>
      <c r="GH714">
        <v>1</v>
      </c>
      <c r="GI714">
        <v>-2</v>
      </c>
      <c r="GJ714">
        <v>0</v>
      </c>
      <c r="GK714">
        <f>ROUND(R714*(R12)/100,2)</f>
        <v>0.09</v>
      </c>
      <c r="GL714">
        <f>ROUND(IF(AND(BH714=3,BI714=3,FS714&lt;&gt;0),P714,0),2)</f>
        <v>0</v>
      </c>
      <c r="GM714">
        <f>ROUND(O714+X714+Y714+GK714,2)+GX714</f>
        <v>729.43</v>
      </c>
      <c r="GN714">
        <f>IF(OR(BI714=0,BI714=1),ROUND(O714+X714+Y714+GK714,2),0)</f>
        <v>0</v>
      </c>
      <c r="GO714">
        <f>IF(BI714=2,ROUND(O714+X714+Y714+GK714,2),0)</f>
        <v>0</v>
      </c>
      <c r="GP714">
        <f>IF(BI714=4,ROUND(O714+X714+Y714+GK714,2)+GX714,0)</f>
        <v>729.43</v>
      </c>
      <c r="GR714">
        <v>0</v>
      </c>
      <c r="GS714">
        <v>3</v>
      </c>
      <c r="GT714">
        <v>0</v>
      </c>
      <c r="GU714" t="s">
        <v>3</v>
      </c>
      <c r="GV714">
        <f>ROUND((GT714),6)</f>
        <v>0</v>
      </c>
      <c r="GW714">
        <v>1</v>
      </c>
      <c r="GX714">
        <f>ROUND(HC714*I714,2)</f>
        <v>0</v>
      </c>
      <c r="HA714">
        <v>0</v>
      </c>
      <c r="HB714">
        <v>0</v>
      </c>
      <c r="HC714">
        <f>GV714*GW714</f>
        <v>0</v>
      </c>
      <c r="HE714" t="s">
        <v>3</v>
      </c>
      <c r="HF714" t="s">
        <v>3</v>
      </c>
      <c r="IK714">
        <v>0</v>
      </c>
    </row>
    <row r="716" spans="1:245" x14ac:dyDescent="0.2">
      <c r="A716" s="2">
        <v>51</v>
      </c>
      <c r="B716" s="2">
        <f>B708</f>
        <v>1</v>
      </c>
      <c r="C716" s="2">
        <f>A708</f>
        <v>5</v>
      </c>
      <c r="D716" s="2">
        <f>ROW(A708)</f>
        <v>708</v>
      </c>
      <c r="E716" s="2"/>
      <c r="F716" s="2" t="str">
        <f>IF(F708&lt;&gt;"",F708,"")</f>
        <v>Новый подраздел</v>
      </c>
      <c r="G716" s="2" t="str">
        <f>IF(G708&lt;&gt;"",G708,"")</f>
        <v>Демонтажные работы</v>
      </c>
      <c r="H716" s="2">
        <v>0</v>
      </c>
      <c r="I716" s="2"/>
      <c r="J716" s="2"/>
      <c r="K716" s="2"/>
      <c r="L716" s="2"/>
      <c r="M716" s="2"/>
      <c r="N716" s="2"/>
      <c r="O716" s="2">
        <f t="shared" ref="O716:T716" si="355">ROUND(AB716,2)</f>
        <v>2006.16</v>
      </c>
      <c r="P716" s="2">
        <f t="shared" si="355"/>
        <v>0</v>
      </c>
      <c r="Q716" s="2">
        <f t="shared" si="355"/>
        <v>42.41</v>
      </c>
      <c r="R716" s="2">
        <f t="shared" si="355"/>
        <v>1.75</v>
      </c>
      <c r="S716" s="2">
        <f t="shared" si="355"/>
        <v>1963.75</v>
      </c>
      <c r="T716" s="2">
        <f t="shared" si="355"/>
        <v>0</v>
      </c>
      <c r="U716" s="2">
        <f>AH716</f>
        <v>8.0159000000000002</v>
      </c>
      <c r="V716" s="2">
        <f>AI716</f>
        <v>0</v>
      </c>
      <c r="W716" s="2">
        <f>ROUND(AJ716,2)</f>
        <v>0</v>
      </c>
      <c r="X716" s="2">
        <f>ROUND(AK716,2)</f>
        <v>1374.62</v>
      </c>
      <c r="Y716" s="2">
        <f>ROUND(AL716,2)</f>
        <v>196.38</v>
      </c>
      <c r="Z716" s="2"/>
      <c r="AA716" s="2"/>
      <c r="AB716" s="2">
        <f>ROUND(SUMIF(AA712:AA714,"=38799519",O712:O714),2)</f>
        <v>2006.16</v>
      </c>
      <c r="AC716" s="2">
        <f>ROUND(SUMIF(AA712:AA714,"=38799519",P712:P714),2)</f>
        <v>0</v>
      </c>
      <c r="AD716" s="2">
        <f>ROUND(SUMIF(AA712:AA714,"=38799519",Q712:Q714),2)</f>
        <v>42.41</v>
      </c>
      <c r="AE716" s="2">
        <f>ROUND(SUMIF(AA712:AA714,"=38799519",R712:R714),2)</f>
        <v>1.75</v>
      </c>
      <c r="AF716" s="2">
        <f>ROUND(SUMIF(AA712:AA714,"=38799519",S712:S714),2)</f>
        <v>1963.75</v>
      </c>
      <c r="AG716" s="2">
        <f>ROUND(SUMIF(AA712:AA714,"=38799519",T712:T714),2)</f>
        <v>0</v>
      </c>
      <c r="AH716" s="2">
        <f>SUMIF(AA712:AA714,"=38799519",U712:U714)</f>
        <v>8.0159000000000002</v>
      </c>
      <c r="AI716" s="2">
        <f>SUMIF(AA712:AA714,"=38799519",V712:V714)</f>
        <v>0</v>
      </c>
      <c r="AJ716" s="2">
        <f>ROUND(SUMIF(AA712:AA714,"=38799519",W712:W714),2)</f>
        <v>0</v>
      </c>
      <c r="AK716" s="2">
        <f>ROUND(SUMIF(AA712:AA714,"=38799519",X712:X714),2)</f>
        <v>1374.62</v>
      </c>
      <c r="AL716" s="2">
        <f>ROUND(SUMIF(AA712:AA714,"=38799519",Y712:Y714),2)</f>
        <v>196.38</v>
      </c>
      <c r="AM716" s="2"/>
      <c r="AN716" s="2"/>
      <c r="AO716" s="2">
        <f t="shared" ref="AO716:BD716" si="356">ROUND(BX716,2)</f>
        <v>0</v>
      </c>
      <c r="AP716" s="2">
        <f t="shared" si="356"/>
        <v>0</v>
      </c>
      <c r="AQ716" s="2">
        <f t="shared" si="356"/>
        <v>0</v>
      </c>
      <c r="AR716" s="2">
        <f t="shared" si="356"/>
        <v>3579.05</v>
      </c>
      <c r="AS716" s="2">
        <f t="shared" si="356"/>
        <v>0</v>
      </c>
      <c r="AT716" s="2">
        <f t="shared" si="356"/>
        <v>0</v>
      </c>
      <c r="AU716" s="2">
        <f t="shared" si="356"/>
        <v>3579.05</v>
      </c>
      <c r="AV716" s="2">
        <f t="shared" si="356"/>
        <v>0</v>
      </c>
      <c r="AW716" s="2">
        <f t="shared" si="356"/>
        <v>0</v>
      </c>
      <c r="AX716" s="2">
        <f t="shared" si="356"/>
        <v>0</v>
      </c>
      <c r="AY716" s="2">
        <f t="shared" si="356"/>
        <v>0</v>
      </c>
      <c r="AZ716" s="2">
        <f t="shared" si="356"/>
        <v>0</v>
      </c>
      <c r="BA716" s="2">
        <f t="shared" si="356"/>
        <v>0</v>
      </c>
      <c r="BB716" s="2">
        <f t="shared" si="356"/>
        <v>0</v>
      </c>
      <c r="BC716" s="2">
        <f t="shared" si="356"/>
        <v>0</v>
      </c>
      <c r="BD716" s="2">
        <f t="shared" si="356"/>
        <v>0</v>
      </c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>
        <f>ROUND(SUMIF(AA712:AA714,"=38799519",FQ712:FQ714),2)</f>
        <v>0</v>
      </c>
      <c r="BY716" s="2">
        <f>ROUND(SUMIF(AA712:AA714,"=38799519",FR712:FR714),2)</f>
        <v>0</v>
      </c>
      <c r="BZ716" s="2">
        <f>ROUND(SUMIF(AA712:AA714,"=38799519",GL712:GL714),2)</f>
        <v>0</v>
      </c>
      <c r="CA716" s="2">
        <f>ROUND(SUMIF(AA712:AA714,"=38799519",GM712:GM714),2)</f>
        <v>3579.05</v>
      </c>
      <c r="CB716" s="2">
        <f>ROUND(SUMIF(AA712:AA714,"=38799519",GN712:GN714),2)</f>
        <v>0</v>
      </c>
      <c r="CC716" s="2">
        <f>ROUND(SUMIF(AA712:AA714,"=38799519",GO712:GO714),2)</f>
        <v>0</v>
      </c>
      <c r="CD716" s="2">
        <f>ROUND(SUMIF(AA712:AA714,"=38799519",GP712:GP714),2)</f>
        <v>3579.05</v>
      </c>
      <c r="CE716" s="2">
        <f>AC716-BX716</f>
        <v>0</v>
      </c>
      <c r="CF716" s="2">
        <f>AC716-BY716</f>
        <v>0</v>
      </c>
      <c r="CG716" s="2">
        <f>BX716-BZ716</f>
        <v>0</v>
      </c>
      <c r="CH716" s="2">
        <f>AC716-BX716-BY716+BZ716</f>
        <v>0</v>
      </c>
      <c r="CI716" s="2">
        <f>BY716-BZ716</f>
        <v>0</v>
      </c>
      <c r="CJ716" s="2">
        <f>ROUND(SUMIF(AA712:AA714,"=38799519",GX712:GX714),2)</f>
        <v>0</v>
      </c>
      <c r="CK716" s="2">
        <f>ROUND(SUMIF(AA712:AA714,"=38799519",GY712:GY714),2)</f>
        <v>0</v>
      </c>
      <c r="CL716" s="2">
        <f>ROUND(SUMIF(AA712:AA714,"=38799519",GZ712:GZ714),2)</f>
        <v>0</v>
      </c>
      <c r="CM716" s="2">
        <f>ROUND(SUMIF(AA712:AA714,"=38799519",HD712:HD714),2)</f>
        <v>0</v>
      </c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3"/>
      <c r="DH716" s="3"/>
      <c r="DI716" s="3"/>
      <c r="DJ716" s="3"/>
      <c r="DK716" s="3"/>
      <c r="DL716" s="3"/>
      <c r="DM716" s="3"/>
      <c r="DN716" s="3"/>
      <c r="DO716" s="3"/>
      <c r="DP716" s="3"/>
      <c r="DQ716" s="3"/>
      <c r="DR716" s="3"/>
      <c r="DS716" s="3"/>
      <c r="DT716" s="3"/>
      <c r="DU716" s="3"/>
      <c r="DV716" s="3"/>
      <c r="DW716" s="3"/>
      <c r="DX716" s="3"/>
      <c r="DY716" s="3"/>
      <c r="DZ716" s="3"/>
      <c r="EA716" s="3"/>
      <c r="EB716" s="3"/>
      <c r="EC716" s="3"/>
      <c r="ED716" s="3"/>
      <c r="EE716" s="3"/>
      <c r="EF716" s="3"/>
      <c r="EG716" s="3"/>
      <c r="EH716" s="3"/>
      <c r="EI716" s="3"/>
      <c r="EJ716" s="3"/>
      <c r="EK716" s="3"/>
      <c r="EL716" s="3"/>
      <c r="EM716" s="3"/>
      <c r="EN716" s="3"/>
      <c r="EO716" s="3"/>
      <c r="EP716" s="3"/>
      <c r="EQ716" s="3"/>
      <c r="ER716" s="3"/>
      <c r="ES716" s="3"/>
      <c r="ET716" s="3"/>
      <c r="EU716" s="3"/>
      <c r="EV716" s="3"/>
      <c r="EW716" s="3"/>
      <c r="EX716" s="3"/>
      <c r="EY716" s="3"/>
      <c r="EZ716" s="3"/>
      <c r="FA716" s="3"/>
      <c r="FB716" s="3"/>
      <c r="FC716" s="3"/>
      <c r="FD716" s="3"/>
      <c r="FE716" s="3"/>
      <c r="FF716" s="3"/>
      <c r="FG716" s="3"/>
      <c r="FH716" s="3"/>
      <c r="FI716" s="3"/>
      <c r="FJ716" s="3"/>
      <c r="FK716" s="3"/>
      <c r="FL716" s="3"/>
      <c r="FM716" s="3"/>
      <c r="FN716" s="3"/>
      <c r="FO716" s="3"/>
      <c r="FP716" s="3"/>
      <c r="FQ716" s="3"/>
      <c r="FR716" s="3"/>
      <c r="FS716" s="3"/>
      <c r="FT716" s="3"/>
      <c r="FU716" s="3"/>
      <c r="FV716" s="3"/>
      <c r="FW716" s="3"/>
      <c r="FX716" s="3"/>
      <c r="FY716" s="3"/>
      <c r="FZ716" s="3"/>
      <c r="GA716" s="3"/>
      <c r="GB716" s="3"/>
      <c r="GC716" s="3"/>
      <c r="GD716" s="3"/>
      <c r="GE716" s="3"/>
      <c r="GF716" s="3"/>
      <c r="GG716" s="3"/>
      <c r="GH716" s="3"/>
      <c r="GI716" s="3"/>
      <c r="GJ716" s="3"/>
      <c r="GK716" s="3"/>
      <c r="GL716" s="3"/>
      <c r="GM716" s="3"/>
      <c r="GN716" s="3"/>
      <c r="GO716" s="3"/>
      <c r="GP716" s="3"/>
      <c r="GQ716" s="3"/>
      <c r="GR716" s="3"/>
      <c r="GS716" s="3"/>
      <c r="GT716" s="3"/>
      <c r="GU716" s="3"/>
      <c r="GV716" s="3"/>
      <c r="GW716" s="3"/>
      <c r="GX716" s="3">
        <v>0</v>
      </c>
    </row>
    <row r="718" spans="1:245" x14ac:dyDescent="0.2">
      <c r="A718" s="4">
        <v>50</v>
      </c>
      <c r="B718" s="4">
        <v>0</v>
      </c>
      <c r="C718" s="4">
        <v>0</v>
      </c>
      <c r="D718" s="4">
        <v>1</v>
      </c>
      <c r="E718" s="4">
        <v>201</v>
      </c>
      <c r="F718" s="4">
        <f>ROUND(Source!O716,O718)</f>
        <v>2006.16</v>
      </c>
      <c r="G718" s="4" t="s">
        <v>50</v>
      </c>
      <c r="H718" s="4" t="s">
        <v>51</v>
      </c>
      <c r="I718" s="4"/>
      <c r="J718" s="4"/>
      <c r="K718" s="4">
        <v>201</v>
      </c>
      <c r="L718" s="4">
        <v>1</v>
      </c>
      <c r="M718" s="4">
        <v>3</v>
      </c>
      <c r="N718" s="4" t="s">
        <v>3</v>
      </c>
      <c r="O718" s="4">
        <v>2</v>
      </c>
      <c r="P718" s="4"/>
      <c r="Q718" s="4"/>
      <c r="R718" s="4"/>
      <c r="S718" s="4"/>
      <c r="T718" s="4"/>
      <c r="U718" s="4"/>
      <c r="V718" s="4"/>
      <c r="W718" s="4"/>
    </row>
    <row r="719" spans="1:245" x14ac:dyDescent="0.2">
      <c r="A719" s="4">
        <v>50</v>
      </c>
      <c r="B719" s="4">
        <v>0</v>
      </c>
      <c r="C719" s="4">
        <v>0</v>
      </c>
      <c r="D719" s="4">
        <v>1</v>
      </c>
      <c r="E719" s="4">
        <v>202</v>
      </c>
      <c r="F719" s="4">
        <f>ROUND(Source!P716,O719)</f>
        <v>0</v>
      </c>
      <c r="G719" s="4" t="s">
        <v>52</v>
      </c>
      <c r="H719" s="4" t="s">
        <v>53</v>
      </c>
      <c r="I719" s="4"/>
      <c r="J719" s="4"/>
      <c r="K719" s="4">
        <v>202</v>
      </c>
      <c r="L719" s="4">
        <v>2</v>
      </c>
      <c r="M719" s="4">
        <v>3</v>
      </c>
      <c r="N719" s="4" t="s">
        <v>3</v>
      </c>
      <c r="O719" s="4">
        <v>2</v>
      </c>
      <c r="P719" s="4"/>
      <c r="Q719" s="4"/>
      <c r="R719" s="4"/>
      <c r="S719" s="4"/>
      <c r="T719" s="4"/>
      <c r="U719" s="4"/>
      <c r="V719" s="4"/>
      <c r="W719" s="4"/>
    </row>
    <row r="720" spans="1:245" x14ac:dyDescent="0.2">
      <c r="A720" s="4">
        <v>50</v>
      </c>
      <c r="B720" s="4">
        <v>0</v>
      </c>
      <c r="C720" s="4">
        <v>0</v>
      </c>
      <c r="D720" s="4">
        <v>1</v>
      </c>
      <c r="E720" s="4">
        <v>222</v>
      </c>
      <c r="F720" s="4">
        <f>ROUND(Source!AO716,O720)</f>
        <v>0</v>
      </c>
      <c r="G720" s="4" t="s">
        <v>54</v>
      </c>
      <c r="H720" s="4" t="s">
        <v>55</v>
      </c>
      <c r="I720" s="4"/>
      <c r="J720" s="4"/>
      <c r="K720" s="4">
        <v>222</v>
      </c>
      <c r="L720" s="4">
        <v>3</v>
      </c>
      <c r="M720" s="4">
        <v>3</v>
      </c>
      <c r="N720" s="4" t="s">
        <v>3</v>
      </c>
      <c r="O720" s="4">
        <v>2</v>
      </c>
      <c r="P720" s="4"/>
      <c r="Q720" s="4"/>
      <c r="R720" s="4"/>
      <c r="S720" s="4"/>
      <c r="T720" s="4"/>
      <c r="U720" s="4"/>
      <c r="V720" s="4"/>
      <c r="W720" s="4"/>
    </row>
    <row r="721" spans="1:23" x14ac:dyDescent="0.2">
      <c r="A721" s="4">
        <v>50</v>
      </c>
      <c r="B721" s="4">
        <v>0</v>
      </c>
      <c r="C721" s="4">
        <v>0</v>
      </c>
      <c r="D721" s="4">
        <v>1</v>
      </c>
      <c r="E721" s="4">
        <v>225</v>
      </c>
      <c r="F721" s="4">
        <f>ROUND(Source!AV716,O721)</f>
        <v>0</v>
      </c>
      <c r="G721" s="4" t="s">
        <v>56</v>
      </c>
      <c r="H721" s="4" t="s">
        <v>57</v>
      </c>
      <c r="I721" s="4"/>
      <c r="J721" s="4"/>
      <c r="K721" s="4">
        <v>225</v>
      </c>
      <c r="L721" s="4">
        <v>4</v>
      </c>
      <c r="M721" s="4">
        <v>3</v>
      </c>
      <c r="N721" s="4" t="s">
        <v>3</v>
      </c>
      <c r="O721" s="4">
        <v>2</v>
      </c>
      <c r="P721" s="4"/>
      <c r="Q721" s="4"/>
      <c r="R721" s="4"/>
      <c r="S721" s="4"/>
      <c r="T721" s="4"/>
      <c r="U721" s="4"/>
      <c r="V721" s="4"/>
      <c r="W721" s="4"/>
    </row>
    <row r="722" spans="1:23" x14ac:dyDescent="0.2">
      <c r="A722" s="4">
        <v>50</v>
      </c>
      <c r="B722" s="4">
        <v>0</v>
      </c>
      <c r="C722" s="4">
        <v>0</v>
      </c>
      <c r="D722" s="4">
        <v>1</v>
      </c>
      <c r="E722" s="4">
        <v>226</v>
      </c>
      <c r="F722" s="4">
        <f>ROUND(Source!AW716,O722)</f>
        <v>0</v>
      </c>
      <c r="G722" s="4" t="s">
        <v>58</v>
      </c>
      <c r="H722" s="4" t="s">
        <v>59</v>
      </c>
      <c r="I722" s="4"/>
      <c r="J722" s="4"/>
      <c r="K722" s="4">
        <v>226</v>
      </c>
      <c r="L722" s="4">
        <v>5</v>
      </c>
      <c r="M722" s="4">
        <v>3</v>
      </c>
      <c r="N722" s="4" t="s">
        <v>3</v>
      </c>
      <c r="O722" s="4">
        <v>2</v>
      </c>
      <c r="P722" s="4"/>
      <c r="Q722" s="4"/>
      <c r="R722" s="4"/>
      <c r="S722" s="4"/>
      <c r="T722" s="4"/>
      <c r="U722" s="4"/>
      <c r="V722" s="4"/>
      <c r="W722" s="4"/>
    </row>
    <row r="723" spans="1:23" x14ac:dyDescent="0.2">
      <c r="A723" s="4">
        <v>50</v>
      </c>
      <c r="B723" s="4">
        <v>0</v>
      </c>
      <c r="C723" s="4">
        <v>0</v>
      </c>
      <c r="D723" s="4">
        <v>1</v>
      </c>
      <c r="E723" s="4">
        <v>227</v>
      </c>
      <c r="F723" s="4">
        <f>ROUND(Source!AX716,O723)</f>
        <v>0</v>
      </c>
      <c r="G723" s="4" t="s">
        <v>60</v>
      </c>
      <c r="H723" s="4" t="s">
        <v>61</v>
      </c>
      <c r="I723" s="4"/>
      <c r="J723" s="4"/>
      <c r="K723" s="4">
        <v>227</v>
      </c>
      <c r="L723" s="4">
        <v>6</v>
      </c>
      <c r="M723" s="4">
        <v>3</v>
      </c>
      <c r="N723" s="4" t="s">
        <v>3</v>
      </c>
      <c r="O723" s="4">
        <v>2</v>
      </c>
      <c r="P723" s="4"/>
      <c r="Q723" s="4"/>
      <c r="R723" s="4"/>
      <c r="S723" s="4"/>
      <c r="T723" s="4"/>
      <c r="U723" s="4"/>
      <c r="V723" s="4"/>
      <c r="W723" s="4"/>
    </row>
    <row r="724" spans="1:23" x14ac:dyDescent="0.2">
      <c r="A724" s="4">
        <v>50</v>
      </c>
      <c r="B724" s="4">
        <v>0</v>
      </c>
      <c r="C724" s="4">
        <v>0</v>
      </c>
      <c r="D724" s="4">
        <v>1</v>
      </c>
      <c r="E724" s="4">
        <v>228</v>
      </c>
      <c r="F724" s="4">
        <f>ROUND(Source!AY716,O724)</f>
        <v>0</v>
      </c>
      <c r="G724" s="4" t="s">
        <v>62</v>
      </c>
      <c r="H724" s="4" t="s">
        <v>63</v>
      </c>
      <c r="I724" s="4"/>
      <c r="J724" s="4"/>
      <c r="K724" s="4">
        <v>228</v>
      </c>
      <c r="L724" s="4">
        <v>7</v>
      </c>
      <c r="M724" s="4">
        <v>3</v>
      </c>
      <c r="N724" s="4" t="s">
        <v>3</v>
      </c>
      <c r="O724" s="4">
        <v>2</v>
      </c>
      <c r="P724" s="4"/>
      <c r="Q724" s="4"/>
      <c r="R724" s="4"/>
      <c r="S724" s="4"/>
      <c r="T724" s="4"/>
      <c r="U724" s="4"/>
      <c r="V724" s="4"/>
      <c r="W724" s="4"/>
    </row>
    <row r="725" spans="1:23" x14ac:dyDescent="0.2">
      <c r="A725" s="4">
        <v>50</v>
      </c>
      <c r="B725" s="4">
        <v>0</v>
      </c>
      <c r="C725" s="4">
        <v>0</v>
      </c>
      <c r="D725" s="4">
        <v>1</v>
      </c>
      <c r="E725" s="4">
        <v>216</v>
      </c>
      <c r="F725" s="4">
        <f>ROUND(Source!AP716,O725)</f>
        <v>0</v>
      </c>
      <c r="G725" s="4" t="s">
        <v>64</v>
      </c>
      <c r="H725" s="4" t="s">
        <v>65</v>
      </c>
      <c r="I725" s="4"/>
      <c r="J725" s="4"/>
      <c r="K725" s="4">
        <v>216</v>
      </c>
      <c r="L725" s="4">
        <v>8</v>
      </c>
      <c r="M725" s="4">
        <v>3</v>
      </c>
      <c r="N725" s="4" t="s">
        <v>3</v>
      </c>
      <c r="O725" s="4">
        <v>2</v>
      </c>
      <c r="P725" s="4"/>
      <c r="Q725" s="4"/>
      <c r="R725" s="4"/>
      <c r="S725" s="4"/>
      <c r="T725" s="4"/>
      <c r="U725" s="4"/>
      <c r="V725" s="4"/>
      <c r="W725" s="4"/>
    </row>
    <row r="726" spans="1:23" x14ac:dyDescent="0.2">
      <c r="A726" s="4">
        <v>50</v>
      </c>
      <c r="B726" s="4">
        <v>0</v>
      </c>
      <c r="C726" s="4">
        <v>0</v>
      </c>
      <c r="D726" s="4">
        <v>1</v>
      </c>
      <c r="E726" s="4">
        <v>223</v>
      </c>
      <c r="F726" s="4">
        <f>ROUND(Source!AQ716,O726)</f>
        <v>0</v>
      </c>
      <c r="G726" s="4" t="s">
        <v>66</v>
      </c>
      <c r="H726" s="4" t="s">
        <v>67</v>
      </c>
      <c r="I726" s="4"/>
      <c r="J726" s="4"/>
      <c r="K726" s="4">
        <v>223</v>
      </c>
      <c r="L726" s="4">
        <v>9</v>
      </c>
      <c r="M726" s="4">
        <v>3</v>
      </c>
      <c r="N726" s="4" t="s">
        <v>3</v>
      </c>
      <c r="O726" s="4">
        <v>2</v>
      </c>
      <c r="P726" s="4"/>
      <c r="Q726" s="4"/>
      <c r="R726" s="4"/>
      <c r="S726" s="4"/>
      <c r="T726" s="4"/>
      <c r="U726" s="4"/>
      <c r="V726" s="4"/>
      <c r="W726" s="4"/>
    </row>
    <row r="727" spans="1:23" x14ac:dyDescent="0.2">
      <c r="A727" s="4">
        <v>50</v>
      </c>
      <c r="B727" s="4">
        <v>0</v>
      </c>
      <c r="C727" s="4">
        <v>0</v>
      </c>
      <c r="D727" s="4">
        <v>1</v>
      </c>
      <c r="E727" s="4">
        <v>229</v>
      </c>
      <c r="F727" s="4">
        <f>ROUND(Source!AZ716,O727)</f>
        <v>0</v>
      </c>
      <c r="G727" s="4" t="s">
        <v>68</v>
      </c>
      <c r="H727" s="4" t="s">
        <v>69</v>
      </c>
      <c r="I727" s="4"/>
      <c r="J727" s="4"/>
      <c r="K727" s="4">
        <v>229</v>
      </c>
      <c r="L727" s="4">
        <v>10</v>
      </c>
      <c r="M727" s="4">
        <v>3</v>
      </c>
      <c r="N727" s="4" t="s">
        <v>3</v>
      </c>
      <c r="O727" s="4">
        <v>2</v>
      </c>
      <c r="P727" s="4"/>
      <c r="Q727" s="4"/>
      <c r="R727" s="4"/>
      <c r="S727" s="4"/>
      <c r="T727" s="4"/>
      <c r="U727" s="4"/>
      <c r="V727" s="4"/>
      <c r="W727" s="4"/>
    </row>
    <row r="728" spans="1:23" x14ac:dyDescent="0.2">
      <c r="A728" s="4">
        <v>50</v>
      </c>
      <c r="B728" s="4">
        <v>0</v>
      </c>
      <c r="C728" s="4">
        <v>0</v>
      </c>
      <c r="D728" s="4">
        <v>1</v>
      </c>
      <c r="E728" s="4">
        <v>203</v>
      </c>
      <c r="F728" s="4">
        <f>ROUND(Source!Q716,O728)</f>
        <v>42.41</v>
      </c>
      <c r="G728" s="4" t="s">
        <v>70</v>
      </c>
      <c r="H728" s="4" t="s">
        <v>71</v>
      </c>
      <c r="I728" s="4"/>
      <c r="J728" s="4"/>
      <c r="K728" s="4">
        <v>203</v>
      </c>
      <c r="L728" s="4">
        <v>11</v>
      </c>
      <c r="M728" s="4">
        <v>3</v>
      </c>
      <c r="N728" s="4" t="s">
        <v>3</v>
      </c>
      <c r="O728" s="4">
        <v>2</v>
      </c>
      <c r="P728" s="4"/>
      <c r="Q728" s="4"/>
      <c r="R728" s="4"/>
      <c r="S728" s="4"/>
      <c r="T728" s="4"/>
      <c r="U728" s="4"/>
      <c r="V728" s="4"/>
      <c r="W728" s="4"/>
    </row>
    <row r="729" spans="1:23" x14ac:dyDescent="0.2">
      <c r="A729" s="4">
        <v>50</v>
      </c>
      <c r="B729" s="4">
        <v>0</v>
      </c>
      <c r="C729" s="4">
        <v>0</v>
      </c>
      <c r="D729" s="4">
        <v>1</v>
      </c>
      <c r="E729" s="4">
        <v>231</v>
      </c>
      <c r="F729" s="4">
        <f>ROUND(Source!BB716,O729)</f>
        <v>0</v>
      </c>
      <c r="G729" s="4" t="s">
        <v>72</v>
      </c>
      <c r="H729" s="4" t="s">
        <v>73</v>
      </c>
      <c r="I729" s="4"/>
      <c r="J729" s="4"/>
      <c r="K729" s="4">
        <v>231</v>
      </c>
      <c r="L729" s="4">
        <v>12</v>
      </c>
      <c r="M729" s="4">
        <v>3</v>
      </c>
      <c r="N729" s="4" t="s">
        <v>3</v>
      </c>
      <c r="O729" s="4">
        <v>2</v>
      </c>
      <c r="P729" s="4"/>
      <c r="Q729" s="4"/>
      <c r="R729" s="4"/>
      <c r="S729" s="4"/>
      <c r="T729" s="4"/>
      <c r="U729" s="4"/>
      <c r="V729" s="4"/>
      <c r="W729" s="4"/>
    </row>
    <row r="730" spans="1:23" x14ac:dyDescent="0.2">
      <c r="A730" s="4">
        <v>50</v>
      </c>
      <c r="B730" s="4">
        <v>0</v>
      </c>
      <c r="C730" s="4">
        <v>0</v>
      </c>
      <c r="D730" s="4">
        <v>1</v>
      </c>
      <c r="E730" s="4">
        <v>204</v>
      </c>
      <c r="F730" s="4">
        <f>ROUND(Source!R716,O730)</f>
        <v>1.75</v>
      </c>
      <c r="G730" s="4" t="s">
        <v>74</v>
      </c>
      <c r="H730" s="4" t="s">
        <v>75</v>
      </c>
      <c r="I730" s="4"/>
      <c r="J730" s="4"/>
      <c r="K730" s="4">
        <v>204</v>
      </c>
      <c r="L730" s="4">
        <v>13</v>
      </c>
      <c r="M730" s="4">
        <v>3</v>
      </c>
      <c r="N730" s="4" t="s">
        <v>3</v>
      </c>
      <c r="O730" s="4">
        <v>2</v>
      </c>
      <c r="P730" s="4"/>
      <c r="Q730" s="4"/>
      <c r="R730" s="4"/>
      <c r="S730" s="4"/>
      <c r="T730" s="4"/>
      <c r="U730" s="4"/>
      <c r="V730" s="4"/>
      <c r="W730" s="4"/>
    </row>
    <row r="731" spans="1:23" x14ac:dyDescent="0.2">
      <c r="A731" s="4">
        <v>50</v>
      </c>
      <c r="B731" s="4">
        <v>0</v>
      </c>
      <c r="C731" s="4">
        <v>0</v>
      </c>
      <c r="D731" s="4">
        <v>1</v>
      </c>
      <c r="E731" s="4">
        <v>205</v>
      </c>
      <c r="F731" s="4">
        <f>ROUND(Source!S716,O731)</f>
        <v>1963.75</v>
      </c>
      <c r="G731" s="4" t="s">
        <v>76</v>
      </c>
      <c r="H731" s="4" t="s">
        <v>77</v>
      </c>
      <c r="I731" s="4"/>
      <c r="J731" s="4"/>
      <c r="K731" s="4">
        <v>205</v>
      </c>
      <c r="L731" s="4">
        <v>14</v>
      </c>
      <c r="M731" s="4">
        <v>3</v>
      </c>
      <c r="N731" s="4" t="s">
        <v>3</v>
      </c>
      <c r="O731" s="4">
        <v>2</v>
      </c>
      <c r="P731" s="4"/>
      <c r="Q731" s="4"/>
      <c r="R731" s="4"/>
      <c r="S731" s="4"/>
      <c r="T731" s="4"/>
      <c r="U731" s="4"/>
      <c r="V731" s="4"/>
      <c r="W731" s="4"/>
    </row>
    <row r="732" spans="1:23" x14ac:dyDescent="0.2">
      <c r="A732" s="4">
        <v>50</v>
      </c>
      <c r="B732" s="4">
        <v>0</v>
      </c>
      <c r="C732" s="4">
        <v>0</v>
      </c>
      <c r="D732" s="4">
        <v>1</v>
      </c>
      <c r="E732" s="4">
        <v>232</v>
      </c>
      <c r="F732" s="4">
        <f>ROUND(Source!BC716,O732)</f>
        <v>0</v>
      </c>
      <c r="G732" s="4" t="s">
        <v>78</v>
      </c>
      <c r="H732" s="4" t="s">
        <v>79</v>
      </c>
      <c r="I732" s="4"/>
      <c r="J732" s="4"/>
      <c r="K732" s="4">
        <v>232</v>
      </c>
      <c r="L732" s="4">
        <v>15</v>
      </c>
      <c r="M732" s="4">
        <v>3</v>
      </c>
      <c r="N732" s="4" t="s">
        <v>3</v>
      </c>
      <c r="O732" s="4">
        <v>2</v>
      </c>
      <c r="P732" s="4"/>
      <c r="Q732" s="4"/>
      <c r="R732" s="4"/>
      <c r="S732" s="4"/>
      <c r="T732" s="4"/>
      <c r="U732" s="4"/>
      <c r="V732" s="4"/>
      <c r="W732" s="4"/>
    </row>
    <row r="733" spans="1:23" x14ac:dyDescent="0.2">
      <c r="A733" s="4">
        <v>50</v>
      </c>
      <c r="B733" s="4">
        <v>0</v>
      </c>
      <c r="C733" s="4">
        <v>0</v>
      </c>
      <c r="D733" s="4">
        <v>1</v>
      </c>
      <c r="E733" s="4">
        <v>214</v>
      </c>
      <c r="F733" s="4">
        <f>ROUND(Source!AS716,O733)</f>
        <v>0</v>
      </c>
      <c r="G733" s="4" t="s">
        <v>80</v>
      </c>
      <c r="H733" s="4" t="s">
        <v>81</v>
      </c>
      <c r="I733" s="4"/>
      <c r="J733" s="4"/>
      <c r="K733" s="4">
        <v>214</v>
      </c>
      <c r="L733" s="4">
        <v>16</v>
      </c>
      <c r="M733" s="4">
        <v>3</v>
      </c>
      <c r="N733" s="4" t="s">
        <v>3</v>
      </c>
      <c r="O733" s="4">
        <v>2</v>
      </c>
      <c r="P733" s="4"/>
      <c r="Q733" s="4"/>
      <c r="R733" s="4"/>
      <c r="S733" s="4"/>
      <c r="T733" s="4"/>
      <c r="U733" s="4"/>
      <c r="V733" s="4"/>
      <c r="W733" s="4"/>
    </row>
    <row r="734" spans="1:23" x14ac:dyDescent="0.2">
      <c r="A734" s="4">
        <v>50</v>
      </c>
      <c r="B734" s="4">
        <v>0</v>
      </c>
      <c r="C734" s="4">
        <v>0</v>
      </c>
      <c r="D734" s="4">
        <v>1</v>
      </c>
      <c r="E734" s="4">
        <v>215</v>
      </c>
      <c r="F734" s="4">
        <f>ROUND(Source!AT716,O734)</f>
        <v>0</v>
      </c>
      <c r="G734" s="4" t="s">
        <v>82</v>
      </c>
      <c r="H734" s="4" t="s">
        <v>83</v>
      </c>
      <c r="I734" s="4"/>
      <c r="J734" s="4"/>
      <c r="K734" s="4">
        <v>215</v>
      </c>
      <c r="L734" s="4">
        <v>17</v>
      </c>
      <c r="M734" s="4">
        <v>3</v>
      </c>
      <c r="N734" s="4" t="s">
        <v>3</v>
      </c>
      <c r="O734" s="4">
        <v>2</v>
      </c>
      <c r="P734" s="4"/>
      <c r="Q734" s="4"/>
      <c r="R734" s="4"/>
      <c r="S734" s="4"/>
      <c r="T734" s="4"/>
      <c r="U734" s="4"/>
      <c r="V734" s="4"/>
      <c r="W734" s="4"/>
    </row>
    <row r="735" spans="1:23" x14ac:dyDescent="0.2">
      <c r="A735" s="4">
        <v>50</v>
      </c>
      <c r="B735" s="4">
        <v>0</v>
      </c>
      <c r="C735" s="4">
        <v>0</v>
      </c>
      <c r="D735" s="4">
        <v>1</v>
      </c>
      <c r="E735" s="4">
        <v>217</v>
      </c>
      <c r="F735" s="4">
        <f>ROUND(Source!AU716,O735)</f>
        <v>3579.05</v>
      </c>
      <c r="G735" s="4" t="s">
        <v>84</v>
      </c>
      <c r="H735" s="4" t="s">
        <v>85</v>
      </c>
      <c r="I735" s="4"/>
      <c r="J735" s="4"/>
      <c r="K735" s="4">
        <v>217</v>
      </c>
      <c r="L735" s="4">
        <v>18</v>
      </c>
      <c r="M735" s="4">
        <v>3</v>
      </c>
      <c r="N735" s="4" t="s">
        <v>3</v>
      </c>
      <c r="O735" s="4">
        <v>2</v>
      </c>
      <c r="P735" s="4"/>
      <c r="Q735" s="4"/>
      <c r="R735" s="4"/>
      <c r="S735" s="4"/>
      <c r="T735" s="4"/>
      <c r="U735" s="4"/>
      <c r="V735" s="4"/>
      <c r="W735" s="4"/>
    </row>
    <row r="736" spans="1:23" x14ac:dyDescent="0.2">
      <c r="A736" s="4">
        <v>50</v>
      </c>
      <c r="B736" s="4">
        <v>0</v>
      </c>
      <c r="C736" s="4">
        <v>0</v>
      </c>
      <c r="D736" s="4">
        <v>1</v>
      </c>
      <c r="E736" s="4">
        <v>230</v>
      </c>
      <c r="F736" s="4">
        <f>ROUND(Source!BA716,O736)</f>
        <v>0</v>
      </c>
      <c r="G736" s="4" t="s">
        <v>86</v>
      </c>
      <c r="H736" s="4" t="s">
        <v>87</v>
      </c>
      <c r="I736" s="4"/>
      <c r="J736" s="4"/>
      <c r="K736" s="4">
        <v>230</v>
      </c>
      <c r="L736" s="4">
        <v>19</v>
      </c>
      <c r="M736" s="4">
        <v>3</v>
      </c>
      <c r="N736" s="4" t="s">
        <v>3</v>
      </c>
      <c r="O736" s="4">
        <v>2</v>
      </c>
      <c r="P736" s="4"/>
      <c r="Q736" s="4"/>
      <c r="R736" s="4"/>
      <c r="S736" s="4"/>
      <c r="T736" s="4"/>
      <c r="U736" s="4"/>
      <c r="V736" s="4"/>
      <c r="W736" s="4"/>
    </row>
    <row r="737" spans="1:245" x14ac:dyDescent="0.2">
      <c r="A737" s="4">
        <v>50</v>
      </c>
      <c r="B737" s="4">
        <v>0</v>
      </c>
      <c r="C737" s="4">
        <v>0</v>
      </c>
      <c r="D737" s="4">
        <v>1</v>
      </c>
      <c r="E737" s="4">
        <v>206</v>
      </c>
      <c r="F737" s="4">
        <f>ROUND(Source!T716,O737)</f>
        <v>0</v>
      </c>
      <c r="G737" s="4" t="s">
        <v>88</v>
      </c>
      <c r="H737" s="4" t="s">
        <v>89</v>
      </c>
      <c r="I737" s="4"/>
      <c r="J737" s="4"/>
      <c r="K737" s="4">
        <v>206</v>
      </c>
      <c r="L737" s="4">
        <v>20</v>
      </c>
      <c r="M737" s="4">
        <v>3</v>
      </c>
      <c r="N737" s="4" t="s">
        <v>3</v>
      </c>
      <c r="O737" s="4">
        <v>2</v>
      </c>
      <c r="P737" s="4"/>
      <c r="Q737" s="4"/>
      <c r="R737" s="4"/>
      <c r="S737" s="4"/>
      <c r="T737" s="4"/>
      <c r="U737" s="4"/>
      <c r="V737" s="4"/>
      <c r="W737" s="4"/>
    </row>
    <row r="738" spans="1:245" x14ac:dyDescent="0.2">
      <c r="A738" s="4">
        <v>50</v>
      </c>
      <c r="B738" s="4">
        <v>0</v>
      </c>
      <c r="C738" s="4">
        <v>0</v>
      </c>
      <c r="D738" s="4">
        <v>1</v>
      </c>
      <c r="E738" s="4">
        <v>207</v>
      </c>
      <c r="F738" s="4">
        <f>Source!U716</f>
        <v>8.0159000000000002</v>
      </c>
      <c r="G738" s="4" t="s">
        <v>90</v>
      </c>
      <c r="H738" s="4" t="s">
        <v>91</v>
      </c>
      <c r="I738" s="4"/>
      <c r="J738" s="4"/>
      <c r="K738" s="4">
        <v>207</v>
      </c>
      <c r="L738" s="4">
        <v>21</v>
      </c>
      <c r="M738" s="4">
        <v>3</v>
      </c>
      <c r="N738" s="4" t="s">
        <v>3</v>
      </c>
      <c r="O738" s="4">
        <v>-1</v>
      </c>
      <c r="P738" s="4"/>
      <c r="Q738" s="4"/>
      <c r="R738" s="4"/>
      <c r="S738" s="4"/>
      <c r="T738" s="4"/>
      <c r="U738" s="4"/>
      <c r="V738" s="4"/>
      <c r="W738" s="4"/>
    </row>
    <row r="739" spans="1:245" x14ac:dyDescent="0.2">
      <c r="A739" s="4">
        <v>50</v>
      </c>
      <c r="B739" s="4">
        <v>0</v>
      </c>
      <c r="C739" s="4">
        <v>0</v>
      </c>
      <c r="D739" s="4">
        <v>1</v>
      </c>
      <c r="E739" s="4">
        <v>208</v>
      </c>
      <c r="F739" s="4">
        <f>Source!V716</f>
        <v>0</v>
      </c>
      <c r="G739" s="4" t="s">
        <v>92</v>
      </c>
      <c r="H739" s="4" t="s">
        <v>93</v>
      </c>
      <c r="I739" s="4"/>
      <c r="J739" s="4"/>
      <c r="K739" s="4">
        <v>208</v>
      </c>
      <c r="L739" s="4">
        <v>22</v>
      </c>
      <c r="M739" s="4">
        <v>3</v>
      </c>
      <c r="N739" s="4" t="s">
        <v>3</v>
      </c>
      <c r="O739" s="4">
        <v>-1</v>
      </c>
      <c r="P739" s="4"/>
      <c r="Q739" s="4"/>
      <c r="R739" s="4"/>
      <c r="S739" s="4"/>
      <c r="T739" s="4"/>
      <c r="U739" s="4"/>
      <c r="V739" s="4"/>
      <c r="W739" s="4"/>
    </row>
    <row r="740" spans="1:245" x14ac:dyDescent="0.2">
      <c r="A740" s="4">
        <v>50</v>
      </c>
      <c r="B740" s="4">
        <v>0</v>
      </c>
      <c r="C740" s="4">
        <v>0</v>
      </c>
      <c r="D740" s="4">
        <v>1</v>
      </c>
      <c r="E740" s="4">
        <v>209</v>
      </c>
      <c r="F740" s="4">
        <f>ROUND(Source!W716,O740)</f>
        <v>0</v>
      </c>
      <c r="G740" s="4" t="s">
        <v>94</v>
      </c>
      <c r="H740" s="4" t="s">
        <v>95</v>
      </c>
      <c r="I740" s="4"/>
      <c r="J740" s="4"/>
      <c r="K740" s="4">
        <v>209</v>
      </c>
      <c r="L740" s="4">
        <v>23</v>
      </c>
      <c r="M740" s="4">
        <v>3</v>
      </c>
      <c r="N740" s="4" t="s">
        <v>3</v>
      </c>
      <c r="O740" s="4">
        <v>2</v>
      </c>
      <c r="P740" s="4"/>
      <c r="Q740" s="4"/>
      <c r="R740" s="4"/>
      <c r="S740" s="4"/>
      <c r="T740" s="4"/>
      <c r="U740" s="4"/>
      <c r="V740" s="4"/>
      <c r="W740" s="4"/>
    </row>
    <row r="741" spans="1:245" x14ac:dyDescent="0.2">
      <c r="A741" s="4">
        <v>50</v>
      </c>
      <c r="B741" s="4">
        <v>0</v>
      </c>
      <c r="C741" s="4">
        <v>0</v>
      </c>
      <c r="D741" s="4">
        <v>1</v>
      </c>
      <c r="E741" s="4">
        <v>233</v>
      </c>
      <c r="F741" s="4">
        <f>ROUND(Source!BD716,O741)</f>
        <v>0</v>
      </c>
      <c r="G741" s="4" t="s">
        <v>96</v>
      </c>
      <c r="H741" s="4" t="s">
        <v>97</v>
      </c>
      <c r="I741" s="4"/>
      <c r="J741" s="4"/>
      <c r="K741" s="4">
        <v>233</v>
      </c>
      <c r="L741" s="4">
        <v>24</v>
      </c>
      <c r="M741" s="4">
        <v>3</v>
      </c>
      <c r="N741" s="4" t="s">
        <v>3</v>
      </c>
      <c r="O741" s="4">
        <v>2</v>
      </c>
      <c r="P741" s="4"/>
      <c r="Q741" s="4"/>
      <c r="R741" s="4"/>
      <c r="S741" s="4"/>
      <c r="T741" s="4"/>
      <c r="U741" s="4"/>
      <c r="V741" s="4"/>
      <c r="W741" s="4"/>
    </row>
    <row r="742" spans="1:245" x14ac:dyDescent="0.2">
      <c r="A742" s="4">
        <v>50</v>
      </c>
      <c r="B742" s="4">
        <v>0</v>
      </c>
      <c r="C742" s="4">
        <v>0</v>
      </c>
      <c r="D742" s="4">
        <v>1</v>
      </c>
      <c r="E742" s="4">
        <v>210</v>
      </c>
      <c r="F742" s="4">
        <f>ROUND(Source!X716,O742)</f>
        <v>1374.62</v>
      </c>
      <c r="G742" s="4" t="s">
        <v>98</v>
      </c>
      <c r="H742" s="4" t="s">
        <v>99</v>
      </c>
      <c r="I742" s="4"/>
      <c r="J742" s="4"/>
      <c r="K742" s="4">
        <v>210</v>
      </c>
      <c r="L742" s="4">
        <v>25</v>
      </c>
      <c r="M742" s="4">
        <v>3</v>
      </c>
      <c r="N742" s="4" t="s">
        <v>3</v>
      </c>
      <c r="O742" s="4">
        <v>2</v>
      </c>
      <c r="P742" s="4"/>
      <c r="Q742" s="4"/>
      <c r="R742" s="4"/>
      <c r="S742" s="4"/>
      <c r="T742" s="4"/>
      <c r="U742" s="4"/>
      <c r="V742" s="4"/>
      <c r="W742" s="4"/>
    </row>
    <row r="743" spans="1:245" x14ac:dyDescent="0.2">
      <c r="A743" s="4">
        <v>50</v>
      </c>
      <c r="B743" s="4">
        <v>0</v>
      </c>
      <c r="C743" s="4">
        <v>0</v>
      </c>
      <c r="D743" s="4">
        <v>1</v>
      </c>
      <c r="E743" s="4">
        <v>211</v>
      </c>
      <c r="F743" s="4">
        <f>ROUND(Source!Y716,O743)</f>
        <v>196.38</v>
      </c>
      <c r="G743" s="4" t="s">
        <v>100</v>
      </c>
      <c r="H743" s="4" t="s">
        <v>101</v>
      </c>
      <c r="I743" s="4"/>
      <c r="J743" s="4"/>
      <c r="K743" s="4">
        <v>211</v>
      </c>
      <c r="L743" s="4">
        <v>26</v>
      </c>
      <c r="M743" s="4">
        <v>3</v>
      </c>
      <c r="N743" s="4" t="s">
        <v>3</v>
      </c>
      <c r="O743" s="4">
        <v>2</v>
      </c>
      <c r="P743" s="4"/>
      <c r="Q743" s="4"/>
      <c r="R743" s="4"/>
      <c r="S743" s="4"/>
      <c r="T743" s="4"/>
      <c r="U743" s="4"/>
      <c r="V743" s="4"/>
      <c r="W743" s="4"/>
    </row>
    <row r="744" spans="1:245" x14ac:dyDescent="0.2">
      <c r="A744" s="4">
        <v>50</v>
      </c>
      <c r="B744" s="4">
        <v>0</v>
      </c>
      <c r="C744" s="4">
        <v>0</v>
      </c>
      <c r="D744" s="4">
        <v>1</v>
      </c>
      <c r="E744" s="4">
        <v>224</v>
      </c>
      <c r="F744" s="4">
        <f>ROUND(Source!AR716,O744)</f>
        <v>3579.05</v>
      </c>
      <c r="G744" s="4" t="s">
        <v>102</v>
      </c>
      <c r="H744" s="4" t="s">
        <v>103</v>
      </c>
      <c r="I744" s="4"/>
      <c r="J744" s="4"/>
      <c r="K744" s="4">
        <v>224</v>
      </c>
      <c r="L744" s="4">
        <v>27</v>
      </c>
      <c r="M744" s="4">
        <v>3</v>
      </c>
      <c r="N744" s="4" t="s">
        <v>3</v>
      </c>
      <c r="O744" s="4">
        <v>2</v>
      </c>
      <c r="P744" s="4"/>
      <c r="Q744" s="4"/>
      <c r="R744" s="4"/>
      <c r="S744" s="4"/>
      <c r="T744" s="4"/>
      <c r="U744" s="4"/>
      <c r="V744" s="4"/>
      <c r="W744" s="4"/>
    </row>
    <row r="746" spans="1:245" x14ac:dyDescent="0.2">
      <c r="A746" s="1">
        <v>5</v>
      </c>
      <c r="B746" s="1">
        <v>1</v>
      </c>
      <c r="C746" s="1"/>
      <c r="D746" s="1">
        <f>ROW(A755)</f>
        <v>755</v>
      </c>
      <c r="E746" s="1"/>
      <c r="F746" s="1" t="s">
        <v>14</v>
      </c>
      <c r="G746" s="1" t="s">
        <v>104</v>
      </c>
      <c r="H746" s="1" t="s">
        <v>3</v>
      </c>
      <c r="I746" s="1">
        <v>0</v>
      </c>
      <c r="J746" s="1"/>
      <c r="K746" s="1">
        <v>0</v>
      </c>
      <c r="L746" s="1"/>
      <c r="M746" s="1"/>
      <c r="N746" s="1"/>
      <c r="O746" s="1"/>
      <c r="P746" s="1"/>
      <c r="Q746" s="1"/>
      <c r="R746" s="1"/>
      <c r="S746" s="1"/>
      <c r="T746" s="1"/>
      <c r="U746" s="1" t="s">
        <v>3</v>
      </c>
      <c r="V746" s="1">
        <v>0</v>
      </c>
      <c r="W746" s="1"/>
      <c r="X746" s="1"/>
      <c r="Y746" s="1"/>
      <c r="Z746" s="1"/>
      <c r="AA746" s="1"/>
      <c r="AB746" s="1" t="s">
        <v>3</v>
      </c>
      <c r="AC746" s="1" t="s">
        <v>3</v>
      </c>
      <c r="AD746" s="1" t="s">
        <v>3</v>
      </c>
      <c r="AE746" s="1" t="s">
        <v>3</v>
      </c>
      <c r="AF746" s="1" t="s">
        <v>3</v>
      </c>
      <c r="AG746" s="1" t="s">
        <v>3</v>
      </c>
      <c r="AH746" s="1"/>
      <c r="AI746" s="1"/>
      <c r="AJ746" s="1"/>
      <c r="AK746" s="1"/>
      <c r="AL746" s="1"/>
      <c r="AM746" s="1"/>
      <c r="AN746" s="1"/>
      <c r="AO746" s="1"/>
      <c r="AP746" s="1" t="s">
        <v>3</v>
      </c>
      <c r="AQ746" s="1" t="s">
        <v>3</v>
      </c>
      <c r="AR746" s="1" t="s">
        <v>3</v>
      </c>
      <c r="AS746" s="1"/>
      <c r="AT746" s="1"/>
      <c r="AU746" s="1"/>
      <c r="AV746" s="1"/>
      <c r="AW746" s="1"/>
      <c r="AX746" s="1"/>
      <c r="AY746" s="1"/>
      <c r="AZ746" s="1" t="s">
        <v>3</v>
      </c>
      <c r="BA746" s="1"/>
      <c r="BB746" s="1" t="s">
        <v>3</v>
      </c>
      <c r="BC746" s="1" t="s">
        <v>3</v>
      </c>
      <c r="BD746" s="1" t="s">
        <v>3</v>
      </c>
      <c r="BE746" s="1" t="s">
        <v>3</v>
      </c>
      <c r="BF746" s="1" t="s">
        <v>3</v>
      </c>
      <c r="BG746" s="1" t="s">
        <v>3</v>
      </c>
      <c r="BH746" s="1" t="s">
        <v>3</v>
      </c>
      <c r="BI746" s="1" t="s">
        <v>3</v>
      </c>
      <c r="BJ746" s="1" t="s">
        <v>3</v>
      </c>
      <c r="BK746" s="1" t="s">
        <v>3</v>
      </c>
      <c r="BL746" s="1" t="s">
        <v>3</v>
      </c>
      <c r="BM746" s="1" t="s">
        <v>3</v>
      </c>
      <c r="BN746" s="1" t="s">
        <v>3</v>
      </c>
      <c r="BO746" s="1" t="s">
        <v>3</v>
      </c>
      <c r="BP746" s="1" t="s">
        <v>3</v>
      </c>
      <c r="BQ746" s="1"/>
      <c r="BR746" s="1"/>
      <c r="BS746" s="1"/>
      <c r="BT746" s="1"/>
      <c r="BU746" s="1"/>
      <c r="BV746" s="1"/>
      <c r="BW746" s="1"/>
      <c r="BX746" s="1">
        <v>0</v>
      </c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>
        <v>0</v>
      </c>
    </row>
    <row r="748" spans="1:245" x14ac:dyDescent="0.2">
      <c r="A748" s="2">
        <v>52</v>
      </c>
      <c r="B748" s="2">
        <f t="shared" ref="B748:G748" si="357">B755</f>
        <v>1</v>
      </c>
      <c r="C748" s="2">
        <f t="shared" si="357"/>
        <v>5</v>
      </c>
      <c r="D748" s="2">
        <f t="shared" si="357"/>
        <v>746</v>
      </c>
      <c r="E748" s="2">
        <f t="shared" si="357"/>
        <v>0</v>
      </c>
      <c r="F748" s="2" t="str">
        <f t="shared" si="357"/>
        <v>Новый подраздел</v>
      </c>
      <c r="G748" s="2" t="str">
        <f t="shared" si="357"/>
        <v>Строительные работы</v>
      </c>
      <c r="H748" s="2"/>
      <c r="I748" s="2"/>
      <c r="J748" s="2"/>
      <c r="K748" s="2"/>
      <c r="L748" s="2"/>
      <c r="M748" s="2"/>
      <c r="N748" s="2"/>
      <c r="O748" s="2">
        <f t="shared" ref="O748:AT748" si="358">O755</f>
        <v>70419.03</v>
      </c>
      <c r="P748" s="2">
        <f t="shared" si="358"/>
        <v>58414.77</v>
      </c>
      <c r="Q748" s="2">
        <f t="shared" si="358"/>
        <v>464.1</v>
      </c>
      <c r="R748" s="2">
        <f t="shared" si="358"/>
        <v>114.27</v>
      </c>
      <c r="S748" s="2">
        <f t="shared" si="358"/>
        <v>11540.16</v>
      </c>
      <c r="T748" s="2">
        <f t="shared" si="358"/>
        <v>0</v>
      </c>
      <c r="U748" s="2">
        <f t="shared" si="358"/>
        <v>45.2</v>
      </c>
      <c r="V748" s="2">
        <f t="shared" si="358"/>
        <v>0</v>
      </c>
      <c r="W748" s="2">
        <f t="shared" si="358"/>
        <v>0</v>
      </c>
      <c r="X748" s="2">
        <f t="shared" si="358"/>
        <v>8078.11</v>
      </c>
      <c r="Y748" s="2">
        <f t="shared" si="358"/>
        <v>1154.02</v>
      </c>
      <c r="Z748" s="2">
        <f t="shared" si="358"/>
        <v>0</v>
      </c>
      <c r="AA748" s="2">
        <f t="shared" si="358"/>
        <v>0</v>
      </c>
      <c r="AB748" s="2">
        <f t="shared" si="358"/>
        <v>70419.03</v>
      </c>
      <c r="AC748" s="2">
        <f t="shared" si="358"/>
        <v>58414.77</v>
      </c>
      <c r="AD748" s="2">
        <f t="shared" si="358"/>
        <v>464.1</v>
      </c>
      <c r="AE748" s="2">
        <f t="shared" si="358"/>
        <v>114.27</v>
      </c>
      <c r="AF748" s="2">
        <f t="shared" si="358"/>
        <v>11540.16</v>
      </c>
      <c r="AG748" s="2">
        <f t="shared" si="358"/>
        <v>0</v>
      </c>
      <c r="AH748" s="2">
        <f t="shared" si="358"/>
        <v>45.2</v>
      </c>
      <c r="AI748" s="2">
        <f t="shared" si="358"/>
        <v>0</v>
      </c>
      <c r="AJ748" s="2">
        <f t="shared" si="358"/>
        <v>0</v>
      </c>
      <c r="AK748" s="2">
        <f t="shared" si="358"/>
        <v>8078.11</v>
      </c>
      <c r="AL748" s="2">
        <f t="shared" si="358"/>
        <v>1154.02</v>
      </c>
      <c r="AM748" s="2">
        <f t="shared" si="358"/>
        <v>0</v>
      </c>
      <c r="AN748" s="2">
        <f t="shared" si="358"/>
        <v>0</v>
      </c>
      <c r="AO748" s="2">
        <f t="shared" si="358"/>
        <v>0</v>
      </c>
      <c r="AP748" s="2">
        <f t="shared" si="358"/>
        <v>0</v>
      </c>
      <c r="AQ748" s="2">
        <f t="shared" si="358"/>
        <v>0</v>
      </c>
      <c r="AR748" s="2">
        <f t="shared" si="358"/>
        <v>79774.570000000007</v>
      </c>
      <c r="AS748" s="2">
        <f t="shared" si="358"/>
        <v>0</v>
      </c>
      <c r="AT748" s="2">
        <f t="shared" si="358"/>
        <v>0</v>
      </c>
      <c r="AU748" s="2">
        <f t="shared" ref="AU748:BZ748" si="359">AU755</f>
        <v>79774.570000000007</v>
      </c>
      <c r="AV748" s="2">
        <f t="shared" si="359"/>
        <v>58414.77</v>
      </c>
      <c r="AW748" s="2">
        <f t="shared" si="359"/>
        <v>58414.77</v>
      </c>
      <c r="AX748" s="2">
        <f t="shared" si="359"/>
        <v>0</v>
      </c>
      <c r="AY748" s="2">
        <f t="shared" si="359"/>
        <v>58414.77</v>
      </c>
      <c r="AZ748" s="2">
        <f t="shared" si="359"/>
        <v>0</v>
      </c>
      <c r="BA748" s="2">
        <f t="shared" si="359"/>
        <v>0</v>
      </c>
      <c r="BB748" s="2">
        <f t="shared" si="359"/>
        <v>0</v>
      </c>
      <c r="BC748" s="2">
        <f t="shared" si="359"/>
        <v>0</v>
      </c>
      <c r="BD748" s="2">
        <f t="shared" si="359"/>
        <v>0</v>
      </c>
      <c r="BE748" s="2">
        <f t="shared" si="359"/>
        <v>0</v>
      </c>
      <c r="BF748" s="2">
        <f t="shared" si="359"/>
        <v>0</v>
      </c>
      <c r="BG748" s="2">
        <f t="shared" si="359"/>
        <v>0</v>
      </c>
      <c r="BH748" s="2">
        <f t="shared" si="359"/>
        <v>0</v>
      </c>
      <c r="BI748" s="2">
        <f t="shared" si="359"/>
        <v>0</v>
      </c>
      <c r="BJ748" s="2">
        <f t="shared" si="359"/>
        <v>0</v>
      </c>
      <c r="BK748" s="2">
        <f t="shared" si="359"/>
        <v>0</v>
      </c>
      <c r="BL748" s="2">
        <f t="shared" si="359"/>
        <v>0</v>
      </c>
      <c r="BM748" s="2">
        <f t="shared" si="359"/>
        <v>0</v>
      </c>
      <c r="BN748" s="2">
        <f t="shared" si="359"/>
        <v>0</v>
      </c>
      <c r="BO748" s="2">
        <f t="shared" si="359"/>
        <v>0</v>
      </c>
      <c r="BP748" s="2">
        <f t="shared" si="359"/>
        <v>0</v>
      </c>
      <c r="BQ748" s="2">
        <f t="shared" si="359"/>
        <v>0</v>
      </c>
      <c r="BR748" s="2">
        <f t="shared" si="359"/>
        <v>0</v>
      </c>
      <c r="BS748" s="2">
        <f t="shared" si="359"/>
        <v>0</v>
      </c>
      <c r="BT748" s="2">
        <f t="shared" si="359"/>
        <v>0</v>
      </c>
      <c r="BU748" s="2">
        <f t="shared" si="359"/>
        <v>0</v>
      </c>
      <c r="BV748" s="2">
        <f t="shared" si="359"/>
        <v>0</v>
      </c>
      <c r="BW748" s="2">
        <f t="shared" si="359"/>
        <v>0</v>
      </c>
      <c r="BX748" s="2">
        <f t="shared" si="359"/>
        <v>0</v>
      </c>
      <c r="BY748" s="2">
        <f t="shared" si="359"/>
        <v>0</v>
      </c>
      <c r="BZ748" s="2">
        <f t="shared" si="359"/>
        <v>0</v>
      </c>
      <c r="CA748" s="2">
        <f t="shared" ref="CA748:DF748" si="360">CA755</f>
        <v>79774.570000000007</v>
      </c>
      <c r="CB748" s="2">
        <f t="shared" si="360"/>
        <v>0</v>
      </c>
      <c r="CC748" s="2">
        <f t="shared" si="360"/>
        <v>0</v>
      </c>
      <c r="CD748" s="2">
        <f t="shared" si="360"/>
        <v>79774.570000000007</v>
      </c>
      <c r="CE748" s="2">
        <f t="shared" si="360"/>
        <v>58414.77</v>
      </c>
      <c r="CF748" s="2">
        <f t="shared" si="360"/>
        <v>58414.77</v>
      </c>
      <c r="CG748" s="2">
        <f t="shared" si="360"/>
        <v>0</v>
      </c>
      <c r="CH748" s="2">
        <f t="shared" si="360"/>
        <v>58414.77</v>
      </c>
      <c r="CI748" s="2">
        <f t="shared" si="360"/>
        <v>0</v>
      </c>
      <c r="CJ748" s="2">
        <f t="shared" si="360"/>
        <v>0</v>
      </c>
      <c r="CK748" s="2">
        <f t="shared" si="360"/>
        <v>0</v>
      </c>
      <c r="CL748" s="2">
        <f t="shared" si="360"/>
        <v>0</v>
      </c>
      <c r="CM748" s="2">
        <f t="shared" si="360"/>
        <v>0</v>
      </c>
      <c r="CN748" s="2">
        <f t="shared" si="360"/>
        <v>0</v>
      </c>
      <c r="CO748" s="2">
        <f t="shared" si="360"/>
        <v>0</v>
      </c>
      <c r="CP748" s="2">
        <f t="shared" si="360"/>
        <v>0</v>
      </c>
      <c r="CQ748" s="2">
        <f t="shared" si="360"/>
        <v>0</v>
      </c>
      <c r="CR748" s="2">
        <f t="shared" si="360"/>
        <v>0</v>
      </c>
      <c r="CS748" s="2">
        <f t="shared" si="360"/>
        <v>0</v>
      </c>
      <c r="CT748" s="2">
        <f t="shared" si="360"/>
        <v>0</v>
      </c>
      <c r="CU748" s="2">
        <f t="shared" si="360"/>
        <v>0</v>
      </c>
      <c r="CV748" s="2">
        <f t="shared" si="360"/>
        <v>0</v>
      </c>
      <c r="CW748" s="2">
        <f t="shared" si="360"/>
        <v>0</v>
      </c>
      <c r="CX748" s="2">
        <f t="shared" si="360"/>
        <v>0</v>
      </c>
      <c r="CY748" s="2">
        <f t="shared" si="360"/>
        <v>0</v>
      </c>
      <c r="CZ748" s="2">
        <f t="shared" si="360"/>
        <v>0</v>
      </c>
      <c r="DA748" s="2">
        <f t="shared" si="360"/>
        <v>0</v>
      </c>
      <c r="DB748" s="2">
        <f t="shared" si="360"/>
        <v>0</v>
      </c>
      <c r="DC748" s="2">
        <f t="shared" si="360"/>
        <v>0</v>
      </c>
      <c r="DD748" s="2">
        <f t="shared" si="360"/>
        <v>0</v>
      </c>
      <c r="DE748" s="2">
        <f t="shared" si="360"/>
        <v>0</v>
      </c>
      <c r="DF748" s="2">
        <f t="shared" si="360"/>
        <v>0</v>
      </c>
      <c r="DG748" s="3">
        <f t="shared" ref="DG748:EL748" si="361">DG755</f>
        <v>0</v>
      </c>
      <c r="DH748" s="3">
        <f t="shared" si="361"/>
        <v>0</v>
      </c>
      <c r="DI748" s="3">
        <f t="shared" si="361"/>
        <v>0</v>
      </c>
      <c r="DJ748" s="3">
        <f t="shared" si="361"/>
        <v>0</v>
      </c>
      <c r="DK748" s="3">
        <f t="shared" si="361"/>
        <v>0</v>
      </c>
      <c r="DL748" s="3">
        <f t="shared" si="361"/>
        <v>0</v>
      </c>
      <c r="DM748" s="3">
        <f t="shared" si="361"/>
        <v>0</v>
      </c>
      <c r="DN748" s="3">
        <f t="shared" si="361"/>
        <v>0</v>
      </c>
      <c r="DO748" s="3">
        <f t="shared" si="361"/>
        <v>0</v>
      </c>
      <c r="DP748" s="3">
        <f t="shared" si="361"/>
        <v>0</v>
      </c>
      <c r="DQ748" s="3">
        <f t="shared" si="361"/>
        <v>0</v>
      </c>
      <c r="DR748" s="3">
        <f t="shared" si="361"/>
        <v>0</v>
      </c>
      <c r="DS748" s="3">
        <f t="shared" si="361"/>
        <v>0</v>
      </c>
      <c r="DT748" s="3">
        <f t="shared" si="361"/>
        <v>0</v>
      </c>
      <c r="DU748" s="3">
        <f t="shared" si="361"/>
        <v>0</v>
      </c>
      <c r="DV748" s="3">
        <f t="shared" si="361"/>
        <v>0</v>
      </c>
      <c r="DW748" s="3">
        <f t="shared" si="361"/>
        <v>0</v>
      </c>
      <c r="DX748" s="3">
        <f t="shared" si="361"/>
        <v>0</v>
      </c>
      <c r="DY748" s="3">
        <f t="shared" si="361"/>
        <v>0</v>
      </c>
      <c r="DZ748" s="3">
        <f t="shared" si="361"/>
        <v>0</v>
      </c>
      <c r="EA748" s="3">
        <f t="shared" si="361"/>
        <v>0</v>
      </c>
      <c r="EB748" s="3">
        <f t="shared" si="361"/>
        <v>0</v>
      </c>
      <c r="EC748" s="3">
        <f t="shared" si="361"/>
        <v>0</v>
      </c>
      <c r="ED748" s="3">
        <f t="shared" si="361"/>
        <v>0</v>
      </c>
      <c r="EE748" s="3">
        <f t="shared" si="361"/>
        <v>0</v>
      </c>
      <c r="EF748" s="3">
        <f t="shared" si="361"/>
        <v>0</v>
      </c>
      <c r="EG748" s="3">
        <f t="shared" si="361"/>
        <v>0</v>
      </c>
      <c r="EH748" s="3">
        <f t="shared" si="361"/>
        <v>0</v>
      </c>
      <c r="EI748" s="3">
        <f t="shared" si="361"/>
        <v>0</v>
      </c>
      <c r="EJ748" s="3">
        <f t="shared" si="361"/>
        <v>0</v>
      </c>
      <c r="EK748" s="3">
        <f t="shared" si="361"/>
        <v>0</v>
      </c>
      <c r="EL748" s="3">
        <f t="shared" si="361"/>
        <v>0</v>
      </c>
      <c r="EM748" s="3">
        <f t="shared" ref="EM748:FR748" si="362">EM755</f>
        <v>0</v>
      </c>
      <c r="EN748" s="3">
        <f t="shared" si="362"/>
        <v>0</v>
      </c>
      <c r="EO748" s="3">
        <f t="shared" si="362"/>
        <v>0</v>
      </c>
      <c r="EP748" s="3">
        <f t="shared" si="362"/>
        <v>0</v>
      </c>
      <c r="EQ748" s="3">
        <f t="shared" si="362"/>
        <v>0</v>
      </c>
      <c r="ER748" s="3">
        <f t="shared" si="362"/>
        <v>0</v>
      </c>
      <c r="ES748" s="3">
        <f t="shared" si="362"/>
        <v>0</v>
      </c>
      <c r="ET748" s="3">
        <f t="shared" si="362"/>
        <v>0</v>
      </c>
      <c r="EU748" s="3">
        <f t="shared" si="362"/>
        <v>0</v>
      </c>
      <c r="EV748" s="3">
        <f t="shared" si="362"/>
        <v>0</v>
      </c>
      <c r="EW748" s="3">
        <f t="shared" si="362"/>
        <v>0</v>
      </c>
      <c r="EX748" s="3">
        <f t="shared" si="362"/>
        <v>0</v>
      </c>
      <c r="EY748" s="3">
        <f t="shared" si="362"/>
        <v>0</v>
      </c>
      <c r="EZ748" s="3">
        <f t="shared" si="362"/>
        <v>0</v>
      </c>
      <c r="FA748" s="3">
        <f t="shared" si="362"/>
        <v>0</v>
      </c>
      <c r="FB748" s="3">
        <f t="shared" si="362"/>
        <v>0</v>
      </c>
      <c r="FC748" s="3">
        <f t="shared" si="362"/>
        <v>0</v>
      </c>
      <c r="FD748" s="3">
        <f t="shared" si="362"/>
        <v>0</v>
      </c>
      <c r="FE748" s="3">
        <f t="shared" si="362"/>
        <v>0</v>
      </c>
      <c r="FF748" s="3">
        <f t="shared" si="362"/>
        <v>0</v>
      </c>
      <c r="FG748" s="3">
        <f t="shared" si="362"/>
        <v>0</v>
      </c>
      <c r="FH748" s="3">
        <f t="shared" si="362"/>
        <v>0</v>
      </c>
      <c r="FI748" s="3">
        <f t="shared" si="362"/>
        <v>0</v>
      </c>
      <c r="FJ748" s="3">
        <f t="shared" si="362"/>
        <v>0</v>
      </c>
      <c r="FK748" s="3">
        <f t="shared" si="362"/>
        <v>0</v>
      </c>
      <c r="FL748" s="3">
        <f t="shared" si="362"/>
        <v>0</v>
      </c>
      <c r="FM748" s="3">
        <f t="shared" si="362"/>
        <v>0</v>
      </c>
      <c r="FN748" s="3">
        <f t="shared" si="362"/>
        <v>0</v>
      </c>
      <c r="FO748" s="3">
        <f t="shared" si="362"/>
        <v>0</v>
      </c>
      <c r="FP748" s="3">
        <f t="shared" si="362"/>
        <v>0</v>
      </c>
      <c r="FQ748" s="3">
        <f t="shared" si="362"/>
        <v>0</v>
      </c>
      <c r="FR748" s="3">
        <f t="shared" si="362"/>
        <v>0</v>
      </c>
      <c r="FS748" s="3">
        <f t="shared" ref="FS748:GX748" si="363">FS755</f>
        <v>0</v>
      </c>
      <c r="FT748" s="3">
        <f t="shared" si="363"/>
        <v>0</v>
      </c>
      <c r="FU748" s="3">
        <f t="shared" si="363"/>
        <v>0</v>
      </c>
      <c r="FV748" s="3">
        <f t="shared" si="363"/>
        <v>0</v>
      </c>
      <c r="FW748" s="3">
        <f t="shared" si="363"/>
        <v>0</v>
      </c>
      <c r="FX748" s="3">
        <f t="shared" si="363"/>
        <v>0</v>
      </c>
      <c r="FY748" s="3">
        <f t="shared" si="363"/>
        <v>0</v>
      </c>
      <c r="FZ748" s="3">
        <f t="shared" si="363"/>
        <v>0</v>
      </c>
      <c r="GA748" s="3">
        <f t="shared" si="363"/>
        <v>0</v>
      </c>
      <c r="GB748" s="3">
        <f t="shared" si="363"/>
        <v>0</v>
      </c>
      <c r="GC748" s="3">
        <f t="shared" si="363"/>
        <v>0</v>
      </c>
      <c r="GD748" s="3">
        <f t="shared" si="363"/>
        <v>0</v>
      </c>
      <c r="GE748" s="3">
        <f t="shared" si="363"/>
        <v>0</v>
      </c>
      <c r="GF748" s="3">
        <f t="shared" si="363"/>
        <v>0</v>
      </c>
      <c r="GG748" s="3">
        <f t="shared" si="363"/>
        <v>0</v>
      </c>
      <c r="GH748" s="3">
        <f t="shared" si="363"/>
        <v>0</v>
      </c>
      <c r="GI748" s="3">
        <f t="shared" si="363"/>
        <v>0</v>
      </c>
      <c r="GJ748" s="3">
        <f t="shared" si="363"/>
        <v>0</v>
      </c>
      <c r="GK748" s="3">
        <f t="shared" si="363"/>
        <v>0</v>
      </c>
      <c r="GL748" s="3">
        <f t="shared" si="363"/>
        <v>0</v>
      </c>
      <c r="GM748" s="3">
        <f t="shared" si="363"/>
        <v>0</v>
      </c>
      <c r="GN748" s="3">
        <f t="shared" si="363"/>
        <v>0</v>
      </c>
      <c r="GO748" s="3">
        <f t="shared" si="363"/>
        <v>0</v>
      </c>
      <c r="GP748" s="3">
        <f t="shared" si="363"/>
        <v>0</v>
      </c>
      <c r="GQ748" s="3">
        <f t="shared" si="363"/>
        <v>0</v>
      </c>
      <c r="GR748" s="3">
        <f t="shared" si="363"/>
        <v>0</v>
      </c>
      <c r="GS748" s="3">
        <f t="shared" si="363"/>
        <v>0</v>
      </c>
      <c r="GT748" s="3">
        <f t="shared" si="363"/>
        <v>0</v>
      </c>
      <c r="GU748" s="3">
        <f t="shared" si="363"/>
        <v>0</v>
      </c>
      <c r="GV748" s="3">
        <f t="shared" si="363"/>
        <v>0</v>
      </c>
      <c r="GW748" s="3">
        <f t="shared" si="363"/>
        <v>0</v>
      </c>
      <c r="GX748" s="3">
        <f t="shared" si="363"/>
        <v>0</v>
      </c>
    </row>
    <row r="750" spans="1:245" x14ac:dyDescent="0.2">
      <c r="A750">
        <v>17</v>
      </c>
      <c r="B750">
        <v>1</v>
      </c>
      <c r="C750">
        <f>ROW(SmtRes!A360)</f>
        <v>360</v>
      </c>
      <c r="D750">
        <f>ROW(EtalonRes!A329)</f>
        <v>329</v>
      </c>
      <c r="E750" t="s">
        <v>345</v>
      </c>
      <c r="F750" t="s">
        <v>132</v>
      </c>
      <c r="G750" t="s">
        <v>133</v>
      </c>
      <c r="H750" t="s">
        <v>19</v>
      </c>
      <c r="I750">
        <f>ROUND(8/100,9)</f>
        <v>0.08</v>
      </c>
      <c r="J750">
        <v>0</v>
      </c>
      <c r="O750">
        <f>ROUND(CP750,2)</f>
        <v>1814.31</v>
      </c>
      <c r="P750">
        <f>ROUND(CQ750*I750,2)</f>
        <v>1392.88</v>
      </c>
      <c r="Q750">
        <f>ROUND(CR750*I750,2)</f>
        <v>161.18</v>
      </c>
      <c r="R750">
        <f>ROUND(CS750*I750,2)</f>
        <v>96.64</v>
      </c>
      <c r="S750">
        <f>ROUND(CT750*I750,2)</f>
        <v>260.25</v>
      </c>
      <c r="T750">
        <f>ROUND(CU750*I750,2)</f>
        <v>0</v>
      </c>
      <c r="U750">
        <f>CV750*I750</f>
        <v>1.3152000000000001</v>
      </c>
      <c r="V750">
        <f>CW750*I750</f>
        <v>0</v>
      </c>
      <c r="W750">
        <f>ROUND(CX750*I750,2)</f>
        <v>0</v>
      </c>
      <c r="X750">
        <f t="shared" ref="X750:Y753" si="364">ROUND(CY750,2)</f>
        <v>182.18</v>
      </c>
      <c r="Y750">
        <f t="shared" si="364"/>
        <v>26.03</v>
      </c>
      <c r="AA750">
        <v>38799519</v>
      </c>
      <c r="AB750">
        <f>ROUND((AC750+AD750+AF750),6)</f>
        <v>22678.99</v>
      </c>
      <c r="AC750">
        <f>ROUND((ES750),6)</f>
        <v>17411.05</v>
      </c>
      <c r="AD750">
        <f>ROUND((((ET750)-(EU750))+AE750),6)</f>
        <v>2014.79</v>
      </c>
      <c r="AE750">
        <f t="shared" ref="AE750:AF753" si="365">ROUND((EU750),6)</f>
        <v>1208.03</v>
      </c>
      <c r="AF750">
        <f t="shared" si="365"/>
        <v>3253.15</v>
      </c>
      <c r="AG750">
        <f>ROUND((AP750),6)</f>
        <v>0</v>
      </c>
      <c r="AH750">
        <f t="shared" ref="AH750:AI753" si="366">(EW750)</f>
        <v>16.440000000000001</v>
      </c>
      <c r="AI750">
        <f t="shared" si="366"/>
        <v>0</v>
      </c>
      <c r="AJ750">
        <f>(AS750)</f>
        <v>0</v>
      </c>
      <c r="AK750">
        <v>22678.99</v>
      </c>
      <c r="AL750">
        <v>17411.05</v>
      </c>
      <c r="AM750">
        <v>2014.79</v>
      </c>
      <c r="AN750">
        <v>1208.03</v>
      </c>
      <c r="AO750">
        <v>3253.15</v>
      </c>
      <c r="AP750">
        <v>0</v>
      </c>
      <c r="AQ750">
        <v>16.440000000000001</v>
      </c>
      <c r="AR750">
        <v>0</v>
      </c>
      <c r="AS750">
        <v>0</v>
      </c>
      <c r="AT750">
        <v>70</v>
      </c>
      <c r="AU750">
        <v>10</v>
      </c>
      <c r="AV750">
        <v>1</v>
      </c>
      <c r="AW750">
        <v>1</v>
      </c>
      <c r="AZ750">
        <v>1</v>
      </c>
      <c r="BA750">
        <v>1</v>
      </c>
      <c r="BB750">
        <v>1</v>
      </c>
      <c r="BC750">
        <v>1</v>
      </c>
      <c r="BD750" t="s">
        <v>3</v>
      </c>
      <c r="BE750" t="s">
        <v>3</v>
      </c>
      <c r="BF750" t="s">
        <v>3</v>
      </c>
      <c r="BG750" t="s">
        <v>3</v>
      </c>
      <c r="BH750">
        <v>0</v>
      </c>
      <c r="BI750">
        <v>4</v>
      </c>
      <c r="BJ750" t="s">
        <v>134</v>
      </c>
      <c r="BM750">
        <v>0</v>
      </c>
      <c r="BN750">
        <v>0</v>
      </c>
      <c r="BO750" t="s">
        <v>3</v>
      </c>
      <c r="BP750">
        <v>0</v>
      </c>
      <c r="BQ750">
        <v>1</v>
      </c>
      <c r="BR750">
        <v>0</v>
      </c>
      <c r="BS750">
        <v>1</v>
      </c>
      <c r="BT750">
        <v>1</v>
      </c>
      <c r="BU750">
        <v>1</v>
      </c>
      <c r="BV750">
        <v>1</v>
      </c>
      <c r="BW750">
        <v>1</v>
      </c>
      <c r="BX750">
        <v>1</v>
      </c>
      <c r="BY750" t="s">
        <v>3</v>
      </c>
      <c r="BZ750">
        <v>70</v>
      </c>
      <c r="CA750">
        <v>10</v>
      </c>
      <c r="CE750">
        <v>0</v>
      </c>
      <c r="CF750">
        <v>0</v>
      </c>
      <c r="CG750">
        <v>0</v>
      </c>
      <c r="CM750">
        <v>0</v>
      </c>
      <c r="CN750" t="s">
        <v>3</v>
      </c>
      <c r="CO750">
        <v>0</v>
      </c>
      <c r="CP750">
        <f>(P750+Q750+S750)</f>
        <v>1814.3100000000002</v>
      </c>
      <c r="CQ750">
        <f>(AC750*BC750*AW750)</f>
        <v>17411.05</v>
      </c>
      <c r="CR750">
        <f>((((ET750)*BB750-(EU750)*BS750)+AE750*BS750)*AV750)</f>
        <v>2014.79</v>
      </c>
      <c r="CS750">
        <f>(AE750*BS750*AV750)</f>
        <v>1208.03</v>
      </c>
      <c r="CT750">
        <f>(AF750*BA750*AV750)</f>
        <v>3253.15</v>
      </c>
      <c r="CU750">
        <f>AG750</f>
        <v>0</v>
      </c>
      <c r="CV750">
        <f>(AH750*AV750)</f>
        <v>16.440000000000001</v>
      </c>
      <c r="CW750">
        <f t="shared" ref="CW750:CX753" si="367">AI750</f>
        <v>0</v>
      </c>
      <c r="CX750">
        <f t="shared" si="367"/>
        <v>0</v>
      </c>
      <c r="CY750">
        <f>((S750*BZ750)/100)</f>
        <v>182.17500000000001</v>
      </c>
      <c r="CZ750">
        <f>((S750*CA750)/100)</f>
        <v>26.024999999999999</v>
      </c>
      <c r="DC750" t="s">
        <v>3</v>
      </c>
      <c r="DD750" t="s">
        <v>3</v>
      </c>
      <c r="DE750" t="s">
        <v>3</v>
      </c>
      <c r="DF750" t="s">
        <v>3</v>
      </c>
      <c r="DG750" t="s">
        <v>3</v>
      </c>
      <c r="DH750" t="s">
        <v>3</v>
      </c>
      <c r="DI750" t="s">
        <v>3</v>
      </c>
      <c r="DJ750" t="s">
        <v>3</v>
      </c>
      <c r="DK750" t="s">
        <v>3</v>
      </c>
      <c r="DL750" t="s">
        <v>3</v>
      </c>
      <c r="DM750" t="s">
        <v>3</v>
      </c>
      <c r="DN750">
        <v>0</v>
      </c>
      <c r="DO750">
        <v>0</v>
      </c>
      <c r="DP750">
        <v>1</v>
      </c>
      <c r="DQ750">
        <v>1</v>
      </c>
      <c r="DU750">
        <v>1005</v>
      </c>
      <c r="DV750" t="s">
        <v>19</v>
      </c>
      <c r="DW750" t="s">
        <v>19</v>
      </c>
      <c r="DX750">
        <v>100</v>
      </c>
      <c r="EE750">
        <v>38447819</v>
      </c>
      <c r="EF750">
        <v>1</v>
      </c>
      <c r="EG750" t="s">
        <v>23</v>
      </c>
      <c r="EH750">
        <v>0</v>
      </c>
      <c r="EI750" t="s">
        <v>3</v>
      </c>
      <c r="EJ750">
        <v>4</v>
      </c>
      <c r="EK750">
        <v>0</v>
      </c>
      <c r="EL750" t="s">
        <v>24</v>
      </c>
      <c r="EM750" t="s">
        <v>25</v>
      </c>
      <c r="EO750" t="s">
        <v>3</v>
      </c>
      <c r="EQ750">
        <v>0</v>
      </c>
      <c r="ER750">
        <v>22678.99</v>
      </c>
      <c r="ES750">
        <v>17411.05</v>
      </c>
      <c r="ET750">
        <v>2014.79</v>
      </c>
      <c r="EU750">
        <v>1208.03</v>
      </c>
      <c r="EV750">
        <v>3253.15</v>
      </c>
      <c r="EW750">
        <v>16.440000000000001</v>
      </c>
      <c r="EX750">
        <v>0</v>
      </c>
      <c r="EY750">
        <v>0</v>
      </c>
      <c r="FQ750">
        <v>0</v>
      </c>
      <c r="FR750">
        <f>ROUND(IF(AND(BH750=3,BI750=3),P750,0),2)</f>
        <v>0</v>
      </c>
      <c r="FS750">
        <v>0</v>
      </c>
      <c r="FX750">
        <v>70</v>
      </c>
      <c r="FY750">
        <v>10</v>
      </c>
      <c r="GA750" t="s">
        <v>3</v>
      </c>
      <c r="GD750">
        <v>0</v>
      </c>
      <c r="GF750">
        <v>-820978144</v>
      </c>
      <c r="GG750">
        <v>2</v>
      </c>
      <c r="GH750">
        <v>1</v>
      </c>
      <c r="GI750">
        <v>-2</v>
      </c>
      <c r="GJ750">
        <v>0</v>
      </c>
      <c r="GK750">
        <f>ROUND(R750*(R12)/100,2)</f>
        <v>104.37</v>
      </c>
      <c r="GL750">
        <f>ROUND(IF(AND(BH750=3,BI750=3,FS750&lt;&gt;0),P750,0),2)</f>
        <v>0</v>
      </c>
      <c r="GM750">
        <f>ROUND(O750+X750+Y750+GK750,2)+GX750</f>
        <v>2126.89</v>
      </c>
      <c r="GN750">
        <f>IF(OR(BI750=0,BI750=1),ROUND(O750+X750+Y750+GK750,2),0)</f>
        <v>0</v>
      </c>
      <c r="GO750">
        <f>IF(BI750=2,ROUND(O750+X750+Y750+GK750,2),0)</f>
        <v>0</v>
      </c>
      <c r="GP750">
        <f>IF(BI750=4,ROUND(O750+X750+Y750+GK750,2)+GX750,0)</f>
        <v>2126.89</v>
      </c>
      <c r="GR750">
        <v>0</v>
      </c>
      <c r="GS750">
        <v>3</v>
      </c>
      <c r="GT750">
        <v>0</v>
      </c>
      <c r="GU750" t="s">
        <v>3</v>
      </c>
      <c r="GV750">
        <f>ROUND((GT750),6)</f>
        <v>0</v>
      </c>
      <c r="GW750">
        <v>1</v>
      </c>
      <c r="GX750">
        <f>ROUND(HC750*I750,2)</f>
        <v>0</v>
      </c>
      <c r="HA750">
        <v>0</v>
      </c>
      <c r="HB750">
        <v>0</v>
      </c>
      <c r="HC750">
        <f>GV750*GW750</f>
        <v>0</v>
      </c>
      <c r="HE750" t="s">
        <v>3</v>
      </c>
      <c r="HF750" t="s">
        <v>3</v>
      </c>
      <c r="IK750">
        <v>0</v>
      </c>
    </row>
    <row r="751" spans="1:245" x14ac:dyDescent="0.2">
      <c r="A751">
        <v>17</v>
      </c>
      <c r="B751">
        <v>1</v>
      </c>
      <c r="C751">
        <f>ROW(SmtRes!A364)</f>
        <v>364</v>
      </c>
      <c r="D751">
        <f>ROW(EtalonRes!A333)</f>
        <v>333</v>
      </c>
      <c r="E751" t="s">
        <v>346</v>
      </c>
      <c r="F751" t="s">
        <v>136</v>
      </c>
      <c r="G751" t="s">
        <v>137</v>
      </c>
      <c r="H751" t="s">
        <v>19</v>
      </c>
      <c r="I751">
        <f>ROUND(8/100,9)</f>
        <v>0.08</v>
      </c>
      <c r="J751">
        <v>0</v>
      </c>
      <c r="O751">
        <f>ROUND(CP751,2)</f>
        <v>280.83999999999997</v>
      </c>
      <c r="P751">
        <f>ROUND(CQ751*I751,2)</f>
        <v>237.83</v>
      </c>
      <c r="Q751">
        <f>ROUND(CR751*I751,2)</f>
        <v>8.42</v>
      </c>
      <c r="R751">
        <f>ROUND(CS751*I751,2)</f>
        <v>4.8</v>
      </c>
      <c r="S751">
        <f>ROUND(CT751*I751,2)</f>
        <v>34.590000000000003</v>
      </c>
      <c r="T751">
        <f>ROUND(CU751*I751,2)</f>
        <v>0</v>
      </c>
      <c r="U751">
        <f>CV751*I751</f>
        <v>0.18480000000000002</v>
      </c>
      <c r="V751">
        <f>CW751*I751</f>
        <v>0</v>
      </c>
      <c r="W751">
        <f>ROUND(CX751*I751,2)</f>
        <v>0</v>
      </c>
      <c r="X751">
        <f t="shared" si="364"/>
        <v>24.21</v>
      </c>
      <c r="Y751">
        <f t="shared" si="364"/>
        <v>3.46</v>
      </c>
      <c r="AA751">
        <v>38799519</v>
      </c>
      <c r="AB751">
        <f>ROUND((AC751+AD751+AF751),6)</f>
        <v>3510.44</v>
      </c>
      <c r="AC751">
        <f>ROUND((ES751),6)</f>
        <v>2972.84</v>
      </c>
      <c r="AD751">
        <f>ROUND((((ET751)-(EU751))+AE751),6)</f>
        <v>105.24</v>
      </c>
      <c r="AE751">
        <f t="shared" si="365"/>
        <v>59.96</v>
      </c>
      <c r="AF751">
        <f t="shared" si="365"/>
        <v>432.36</v>
      </c>
      <c r="AG751">
        <f>ROUND((AP751),6)</f>
        <v>0</v>
      </c>
      <c r="AH751">
        <f t="shared" si="366"/>
        <v>2.31</v>
      </c>
      <c r="AI751">
        <f t="shared" si="366"/>
        <v>0</v>
      </c>
      <c r="AJ751">
        <f>(AS751)</f>
        <v>0</v>
      </c>
      <c r="AK751">
        <v>3510.44</v>
      </c>
      <c r="AL751">
        <v>2972.84</v>
      </c>
      <c r="AM751">
        <v>105.24</v>
      </c>
      <c r="AN751">
        <v>59.96</v>
      </c>
      <c r="AO751">
        <v>432.36</v>
      </c>
      <c r="AP751">
        <v>0</v>
      </c>
      <c r="AQ751">
        <v>2.31</v>
      </c>
      <c r="AR751">
        <v>0</v>
      </c>
      <c r="AS751">
        <v>0</v>
      </c>
      <c r="AT751">
        <v>70</v>
      </c>
      <c r="AU751">
        <v>10</v>
      </c>
      <c r="AV751">
        <v>1</v>
      </c>
      <c r="AW751">
        <v>1</v>
      </c>
      <c r="AZ751">
        <v>1</v>
      </c>
      <c r="BA751">
        <v>1</v>
      </c>
      <c r="BB751">
        <v>1</v>
      </c>
      <c r="BC751">
        <v>1</v>
      </c>
      <c r="BD751" t="s">
        <v>3</v>
      </c>
      <c r="BE751" t="s">
        <v>3</v>
      </c>
      <c r="BF751" t="s">
        <v>3</v>
      </c>
      <c r="BG751" t="s">
        <v>3</v>
      </c>
      <c r="BH751">
        <v>0</v>
      </c>
      <c r="BI751">
        <v>4</v>
      </c>
      <c r="BJ751" t="s">
        <v>138</v>
      </c>
      <c r="BM751">
        <v>0</v>
      </c>
      <c r="BN751">
        <v>0</v>
      </c>
      <c r="BO751" t="s">
        <v>3</v>
      </c>
      <c r="BP751">
        <v>0</v>
      </c>
      <c r="BQ751">
        <v>1</v>
      </c>
      <c r="BR751">
        <v>0</v>
      </c>
      <c r="BS751">
        <v>1</v>
      </c>
      <c r="BT751">
        <v>1</v>
      </c>
      <c r="BU751">
        <v>1</v>
      </c>
      <c r="BV751">
        <v>1</v>
      </c>
      <c r="BW751">
        <v>1</v>
      </c>
      <c r="BX751">
        <v>1</v>
      </c>
      <c r="BY751" t="s">
        <v>3</v>
      </c>
      <c r="BZ751">
        <v>70</v>
      </c>
      <c r="CA751">
        <v>10</v>
      </c>
      <c r="CE751">
        <v>0</v>
      </c>
      <c r="CF751">
        <v>0</v>
      </c>
      <c r="CG751">
        <v>0</v>
      </c>
      <c r="CM751">
        <v>0</v>
      </c>
      <c r="CN751" t="s">
        <v>3</v>
      </c>
      <c r="CO751">
        <v>0</v>
      </c>
      <c r="CP751">
        <f>(P751+Q751+S751)</f>
        <v>280.84000000000003</v>
      </c>
      <c r="CQ751">
        <f>(AC751*BC751*AW751)</f>
        <v>2972.84</v>
      </c>
      <c r="CR751">
        <f>((((ET751)*BB751-(EU751)*BS751)+AE751*BS751)*AV751)</f>
        <v>105.24</v>
      </c>
      <c r="CS751">
        <f>(AE751*BS751*AV751)</f>
        <v>59.96</v>
      </c>
      <c r="CT751">
        <f>(AF751*BA751*AV751)</f>
        <v>432.36</v>
      </c>
      <c r="CU751">
        <f>AG751</f>
        <v>0</v>
      </c>
      <c r="CV751">
        <f>(AH751*AV751)</f>
        <v>2.31</v>
      </c>
      <c r="CW751">
        <f t="shared" si="367"/>
        <v>0</v>
      </c>
      <c r="CX751">
        <f t="shared" si="367"/>
        <v>0</v>
      </c>
      <c r="CY751">
        <f>((S751*BZ751)/100)</f>
        <v>24.213000000000001</v>
      </c>
      <c r="CZ751">
        <f>((S751*CA751)/100)</f>
        <v>3.4590000000000005</v>
      </c>
      <c r="DC751" t="s">
        <v>3</v>
      </c>
      <c r="DD751" t="s">
        <v>3</v>
      </c>
      <c r="DE751" t="s">
        <v>3</v>
      </c>
      <c r="DF751" t="s">
        <v>3</v>
      </c>
      <c r="DG751" t="s">
        <v>3</v>
      </c>
      <c r="DH751" t="s">
        <v>3</v>
      </c>
      <c r="DI751" t="s">
        <v>3</v>
      </c>
      <c r="DJ751" t="s">
        <v>3</v>
      </c>
      <c r="DK751" t="s">
        <v>3</v>
      </c>
      <c r="DL751" t="s">
        <v>3</v>
      </c>
      <c r="DM751" t="s">
        <v>3</v>
      </c>
      <c r="DN751">
        <v>0</v>
      </c>
      <c r="DO751">
        <v>0</v>
      </c>
      <c r="DP751">
        <v>1</v>
      </c>
      <c r="DQ751">
        <v>1</v>
      </c>
      <c r="DU751">
        <v>1005</v>
      </c>
      <c r="DV751" t="s">
        <v>19</v>
      </c>
      <c r="DW751" t="s">
        <v>19</v>
      </c>
      <c r="DX751">
        <v>100</v>
      </c>
      <c r="EE751">
        <v>38447819</v>
      </c>
      <c r="EF751">
        <v>1</v>
      </c>
      <c r="EG751" t="s">
        <v>23</v>
      </c>
      <c r="EH751">
        <v>0</v>
      </c>
      <c r="EI751" t="s">
        <v>3</v>
      </c>
      <c r="EJ751">
        <v>4</v>
      </c>
      <c r="EK751">
        <v>0</v>
      </c>
      <c r="EL751" t="s">
        <v>24</v>
      </c>
      <c r="EM751" t="s">
        <v>25</v>
      </c>
      <c r="EO751" t="s">
        <v>3</v>
      </c>
      <c r="EQ751">
        <v>0</v>
      </c>
      <c r="ER751">
        <v>3510.44</v>
      </c>
      <c r="ES751">
        <v>2972.84</v>
      </c>
      <c r="ET751">
        <v>105.24</v>
      </c>
      <c r="EU751">
        <v>59.96</v>
      </c>
      <c r="EV751">
        <v>432.36</v>
      </c>
      <c r="EW751">
        <v>2.31</v>
      </c>
      <c r="EX751">
        <v>0</v>
      </c>
      <c r="EY751">
        <v>0</v>
      </c>
      <c r="FQ751">
        <v>0</v>
      </c>
      <c r="FR751">
        <f>ROUND(IF(AND(BH751=3,BI751=3),P751,0),2)</f>
        <v>0</v>
      </c>
      <c r="FS751">
        <v>0</v>
      </c>
      <c r="FX751">
        <v>70</v>
      </c>
      <c r="FY751">
        <v>10</v>
      </c>
      <c r="GA751" t="s">
        <v>3</v>
      </c>
      <c r="GD751">
        <v>0</v>
      </c>
      <c r="GF751">
        <v>-1891653427</v>
      </c>
      <c r="GG751">
        <v>2</v>
      </c>
      <c r="GH751">
        <v>1</v>
      </c>
      <c r="GI751">
        <v>-2</v>
      </c>
      <c r="GJ751">
        <v>0</v>
      </c>
      <c r="GK751">
        <f>ROUND(R751*(R12)/100,2)</f>
        <v>5.18</v>
      </c>
      <c r="GL751">
        <f>ROUND(IF(AND(BH751=3,BI751=3,FS751&lt;&gt;0),P751,0),2)</f>
        <v>0</v>
      </c>
      <c r="GM751">
        <f>ROUND(O751+X751+Y751+GK751,2)+GX751</f>
        <v>313.69</v>
      </c>
      <c r="GN751">
        <f>IF(OR(BI751=0,BI751=1),ROUND(O751+X751+Y751+GK751,2),0)</f>
        <v>0</v>
      </c>
      <c r="GO751">
        <f>IF(BI751=2,ROUND(O751+X751+Y751+GK751,2),0)</f>
        <v>0</v>
      </c>
      <c r="GP751">
        <f>IF(BI751=4,ROUND(O751+X751+Y751+GK751,2)+GX751,0)</f>
        <v>313.69</v>
      </c>
      <c r="GR751">
        <v>0</v>
      </c>
      <c r="GS751">
        <v>3</v>
      </c>
      <c r="GT751">
        <v>0</v>
      </c>
      <c r="GU751" t="s">
        <v>3</v>
      </c>
      <c r="GV751">
        <f>ROUND((GT751),6)</f>
        <v>0</v>
      </c>
      <c r="GW751">
        <v>1</v>
      </c>
      <c r="GX751">
        <f>ROUND(HC751*I751,2)</f>
        <v>0</v>
      </c>
      <c r="HA751">
        <v>0</v>
      </c>
      <c r="HB751">
        <v>0</v>
      </c>
      <c r="HC751">
        <f>GV751*GW751</f>
        <v>0</v>
      </c>
      <c r="HE751" t="s">
        <v>3</v>
      </c>
      <c r="HF751" t="s">
        <v>3</v>
      </c>
      <c r="IK751">
        <v>0</v>
      </c>
    </row>
    <row r="752" spans="1:245" x14ac:dyDescent="0.2">
      <c r="A752">
        <v>17</v>
      </c>
      <c r="B752">
        <v>1</v>
      </c>
      <c r="C752">
        <f>ROW(SmtRes!A370)</f>
        <v>370</v>
      </c>
      <c r="D752">
        <f>ROW(EtalonRes!A338)</f>
        <v>338</v>
      </c>
      <c r="E752" t="s">
        <v>347</v>
      </c>
      <c r="F752" t="s">
        <v>170</v>
      </c>
      <c r="G752" t="s">
        <v>171</v>
      </c>
      <c r="H752" t="s">
        <v>155</v>
      </c>
      <c r="I752">
        <v>0.5</v>
      </c>
      <c r="J752">
        <v>0</v>
      </c>
      <c r="O752">
        <f>ROUND(CP752,2)</f>
        <v>49304.04</v>
      </c>
      <c r="P752">
        <f>ROUND(CQ752*I752,2)</f>
        <v>37764.22</v>
      </c>
      <c r="Q752">
        <f>ROUND(CR752*I752,2)</f>
        <v>294.5</v>
      </c>
      <c r="R752">
        <f>ROUND(CS752*I752,2)</f>
        <v>12.83</v>
      </c>
      <c r="S752">
        <f>ROUND(CT752*I752,2)</f>
        <v>11245.32</v>
      </c>
      <c r="T752">
        <f>ROUND(CU752*I752,2)</f>
        <v>0</v>
      </c>
      <c r="U752">
        <f>CV752*I752</f>
        <v>43.7</v>
      </c>
      <c r="V752">
        <f>CW752*I752</f>
        <v>0</v>
      </c>
      <c r="W752">
        <f>ROUND(CX752*I752,2)</f>
        <v>0</v>
      </c>
      <c r="X752">
        <f t="shared" si="364"/>
        <v>7871.72</v>
      </c>
      <c r="Y752">
        <f t="shared" si="364"/>
        <v>1124.53</v>
      </c>
      <c r="AA752">
        <v>38799519</v>
      </c>
      <c r="AB752">
        <f>ROUND((AC752+AD752+AF752),6)</f>
        <v>98608.07</v>
      </c>
      <c r="AC752">
        <f>ROUND((ES752),6)</f>
        <v>75528.429999999993</v>
      </c>
      <c r="AD752">
        <f>ROUND((((ET752)-(EU752))+AE752),6)</f>
        <v>589</v>
      </c>
      <c r="AE752">
        <f t="shared" si="365"/>
        <v>25.65</v>
      </c>
      <c r="AF752">
        <f t="shared" si="365"/>
        <v>22490.639999999999</v>
      </c>
      <c r="AG752">
        <f>ROUND((AP752),6)</f>
        <v>0</v>
      </c>
      <c r="AH752">
        <f t="shared" si="366"/>
        <v>87.4</v>
      </c>
      <c r="AI752">
        <f t="shared" si="366"/>
        <v>0</v>
      </c>
      <c r="AJ752">
        <f>(AS752)</f>
        <v>0</v>
      </c>
      <c r="AK752">
        <v>98608.07</v>
      </c>
      <c r="AL752">
        <v>75528.429999999993</v>
      </c>
      <c r="AM752">
        <v>589</v>
      </c>
      <c r="AN752">
        <v>25.65</v>
      </c>
      <c r="AO752">
        <v>22490.639999999999</v>
      </c>
      <c r="AP752">
        <v>0</v>
      </c>
      <c r="AQ752">
        <v>87.4</v>
      </c>
      <c r="AR752">
        <v>0</v>
      </c>
      <c r="AS752">
        <v>0</v>
      </c>
      <c r="AT752">
        <v>70</v>
      </c>
      <c r="AU752">
        <v>10</v>
      </c>
      <c r="AV752">
        <v>1</v>
      </c>
      <c r="AW752">
        <v>1</v>
      </c>
      <c r="AZ752">
        <v>1</v>
      </c>
      <c r="BA752">
        <v>1</v>
      </c>
      <c r="BB752">
        <v>1</v>
      </c>
      <c r="BC752">
        <v>1</v>
      </c>
      <c r="BD752" t="s">
        <v>3</v>
      </c>
      <c r="BE752" t="s">
        <v>3</v>
      </c>
      <c r="BF752" t="s">
        <v>3</v>
      </c>
      <c r="BG752" t="s">
        <v>3</v>
      </c>
      <c r="BH752">
        <v>0</v>
      </c>
      <c r="BI752">
        <v>4</v>
      </c>
      <c r="BJ752" t="s">
        <v>172</v>
      </c>
      <c r="BM752">
        <v>0</v>
      </c>
      <c r="BN752">
        <v>0</v>
      </c>
      <c r="BO752" t="s">
        <v>3</v>
      </c>
      <c r="BP752">
        <v>0</v>
      </c>
      <c r="BQ752">
        <v>1</v>
      </c>
      <c r="BR752">
        <v>0</v>
      </c>
      <c r="BS752">
        <v>1</v>
      </c>
      <c r="BT752">
        <v>1</v>
      </c>
      <c r="BU752">
        <v>1</v>
      </c>
      <c r="BV752">
        <v>1</v>
      </c>
      <c r="BW752">
        <v>1</v>
      </c>
      <c r="BX752">
        <v>1</v>
      </c>
      <c r="BY752" t="s">
        <v>3</v>
      </c>
      <c r="BZ752">
        <v>70</v>
      </c>
      <c r="CA752">
        <v>10</v>
      </c>
      <c r="CE752">
        <v>0</v>
      </c>
      <c r="CF752">
        <v>0</v>
      </c>
      <c r="CG752">
        <v>0</v>
      </c>
      <c r="CM752">
        <v>0</v>
      </c>
      <c r="CN752" t="s">
        <v>3</v>
      </c>
      <c r="CO752">
        <v>0</v>
      </c>
      <c r="CP752">
        <f>(P752+Q752+S752)</f>
        <v>49304.04</v>
      </c>
      <c r="CQ752">
        <f>(AC752*BC752*AW752)</f>
        <v>75528.429999999993</v>
      </c>
      <c r="CR752">
        <f>((((ET752)*BB752-(EU752)*BS752)+AE752*BS752)*AV752)</f>
        <v>589</v>
      </c>
      <c r="CS752">
        <f>(AE752*BS752*AV752)</f>
        <v>25.65</v>
      </c>
      <c r="CT752">
        <f>(AF752*BA752*AV752)</f>
        <v>22490.639999999999</v>
      </c>
      <c r="CU752">
        <f>AG752</f>
        <v>0</v>
      </c>
      <c r="CV752">
        <f>(AH752*AV752)</f>
        <v>87.4</v>
      </c>
      <c r="CW752">
        <f t="shared" si="367"/>
        <v>0</v>
      </c>
      <c r="CX752">
        <f t="shared" si="367"/>
        <v>0</v>
      </c>
      <c r="CY752">
        <f>((S752*BZ752)/100)</f>
        <v>7871.7240000000002</v>
      </c>
      <c r="CZ752">
        <f>((S752*CA752)/100)</f>
        <v>1124.5319999999999</v>
      </c>
      <c r="DC752" t="s">
        <v>3</v>
      </c>
      <c r="DD752" t="s">
        <v>3</v>
      </c>
      <c r="DE752" t="s">
        <v>3</v>
      </c>
      <c r="DF752" t="s">
        <v>3</v>
      </c>
      <c r="DG752" t="s">
        <v>3</v>
      </c>
      <c r="DH752" t="s">
        <v>3</v>
      </c>
      <c r="DI752" t="s">
        <v>3</v>
      </c>
      <c r="DJ752" t="s">
        <v>3</v>
      </c>
      <c r="DK752" t="s">
        <v>3</v>
      </c>
      <c r="DL752" t="s">
        <v>3</v>
      </c>
      <c r="DM752" t="s">
        <v>3</v>
      </c>
      <c r="DN752">
        <v>0</v>
      </c>
      <c r="DO752">
        <v>0</v>
      </c>
      <c r="DP752">
        <v>1</v>
      </c>
      <c r="DQ752">
        <v>1</v>
      </c>
      <c r="DU752">
        <v>1009</v>
      </c>
      <c r="DV752" t="s">
        <v>155</v>
      </c>
      <c r="DW752" t="s">
        <v>155</v>
      </c>
      <c r="DX752">
        <v>1000</v>
      </c>
      <c r="EE752">
        <v>38447819</v>
      </c>
      <c r="EF752">
        <v>1</v>
      </c>
      <c r="EG752" t="s">
        <v>23</v>
      </c>
      <c r="EH752">
        <v>0</v>
      </c>
      <c r="EI752" t="s">
        <v>3</v>
      </c>
      <c r="EJ752">
        <v>4</v>
      </c>
      <c r="EK752">
        <v>0</v>
      </c>
      <c r="EL752" t="s">
        <v>24</v>
      </c>
      <c r="EM752" t="s">
        <v>25</v>
      </c>
      <c r="EO752" t="s">
        <v>3</v>
      </c>
      <c r="EQ752">
        <v>0</v>
      </c>
      <c r="ER752">
        <v>98608.07</v>
      </c>
      <c r="ES752">
        <v>75528.429999999993</v>
      </c>
      <c r="ET752">
        <v>589</v>
      </c>
      <c r="EU752">
        <v>25.65</v>
      </c>
      <c r="EV752">
        <v>22490.639999999999</v>
      </c>
      <c r="EW752">
        <v>87.4</v>
      </c>
      <c r="EX752">
        <v>0</v>
      </c>
      <c r="EY752">
        <v>0</v>
      </c>
      <c r="FQ752">
        <v>0</v>
      </c>
      <c r="FR752">
        <f>ROUND(IF(AND(BH752=3,BI752=3),P752,0),2)</f>
        <v>0</v>
      </c>
      <c r="FS752">
        <v>0</v>
      </c>
      <c r="FX752">
        <v>70</v>
      </c>
      <c r="FY752">
        <v>10</v>
      </c>
      <c r="GA752" t="s">
        <v>3</v>
      </c>
      <c r="GD752">
        <v>0</v>
      </c>
      <c r="GF752">
        <v>-1542919465</v>
      </c>
      <c r="GG752">
        <v>2</v>
      </c>
      <c r="GH752">
        <v>1</v>
      </c>
      <c r="GI752">
        <v>-2</v>
      </c>
      <c r="GJ752">
        <v>0</v>
      </c>
      <c r="GK752">
        <f>ROUND(R752*(R12)/100,2)</f>
        <v>13.86</v>
      </c>
      <c r="GL752">
        <f>ROUND(IF(AND(BH752=3,BI752=3,FS752&lt;&gt;0),P752,0),2)</f>
        <v>0</v>
      </c>
      <c r="GM752">
        <f>ROUND(O752+X752+Y752+GK752,2)+GX752</f>
        <v>58314.15</v>
      </c>
      <c r="GN752">
        <f>IF(OR(BI752=0,BI752=1),ROUND(O752+X752+Y752+GK752,2),0)</f>
        <v>0</v>
      </c>
      <c r="GO752">
        <f>IF(BI752=2,ROUND(O752+X752+Y752+GK752,2),0)</f>
        <v>0</v>
      </c>
      <c r="GP752">
        <f>IF(BI752=4,ROUND(O752+X752+Y752+GK752,2)+GX752,0)</f>
        <v>58314.15</v>
      </c>
      <c r="GR752">
        <v>0</v>
      </c>
      <c r="GS752">
        <v>3</v>
      </c>
      <c r="GT752">
        <v>0</v>
      </c>
      <c r="GU752" t="s">
        <v>3</v>
      </c>
      <c r="GV752">
        <f>ROUND((GT752),6)</f>
        <v>0</v>
      </c>
      <c r="GW752">
        <v>1</v>
      </c>
      <c r="GX752">
        <f>ROUND(HC752*I752,2)</f>
        <v>0</v>
      </c>
      <c r="HA752">
        <v>0</v>
      </c>
      <c r="HB752">
        <v>0</v>
      </c>
      <c r="HC752">
        <f>GV752*GW752</f>
        <v>0</v>
      </c>
      <c r="HE752" t="s">
        <v>3</v>
      </c>
      <c r="HF752" t="s">
        <v>3</v>
      </c>
      <c r="IK752">
        <v>0</v>
      </c>
    </row>
    <row r="753" spans="1:245" x14ac:dyDescent="0.2">
      <c r="A753">
        <v>18</v>
      </c>
      <c r="B753">
        <v>1</v>
      </c>
      <c r="C753">
        <v>370</v>
      </c>
      <c r="E753" t="s">
        <v>348</v>
      </c>
      <c r="F753" t="s">
        <v>196</v>
      </c>
      <c r="G753" t="s">
        <v>349</v>
      </c>
      <c r="H753" t="s">
        <v>198</v>
      </c>
      <c r="I753">
        <f>I752*J753</f>
        <v>0.449208</v>
      </c>
      <c r="J753">
        <v>0.89841599999999999</v>
      </c>
      <c r="O753">
        <f>ROUND(CP753,2)</f>
        <v>19019.84</v>
      </c>
      <c r="P753">
        <f>ROUND(CQ753*I753,2)</f>
        <v>19019.84</v>
      </c>
      <c r="Q753">
        <f>ROUND(CR753*I753,2)</f>
        <v>0</v>
      </c>
      <c r="R753">
        <f>ROUND(CS753*I753,2)</f>
        <v>0</v>
      </c>
      <c r="S753">
        <f>ROUND(CT753*I753,2)</f>
        <v>0</v>
      </c>
      <c r="T753">
        <f>ROUND(CU753*I753,2)</f>
        <v>0</v>
      </c>
      <c r="U753">
        <f>CV753*I753</f>
        <v>0</v>
      </c>
      <c r="V753">
        <f>CW753*I753</f>
        <v>0</v>
      </c>
      <c r="W753">
        <f>ROUND(CX753*I753,2)</f>
        <v>0</v>
      </c>
      <c r="X753">
        <f t="shared" si="364"/>
        <v>0</v>
      </c>
      <c r="Y753">
        <f t="shared" si="364"/>
        <v>0</v>
      </c>
      <c r="AA753">
        <v>38799519</v>
      </c>
      <c r="AB753">
        <f>ROUND((AC753+AD753+AF753),6)</f>
        <v>42340.83</v>
      </c>
      <c r="AC753">
        <f>ROUND((ES753),6)</f>
        <v>42340.83</v>
      </c>
      <c r="AD753">
        <f>ROUND((((ET753)-(EU753))+AE753),6)</f>
        <v>0</v>
      </c>
      <c r="AE753">
        <f t="shared" si="365"/>
        <v>0</v>
      </c>
      <c r="AF753">
        <f t="shared" si="365"/>
        <v>0</v>
      </c>
      <c r="AG753">
        <f>ROUND((AP753),6)</f>
        <v>0</v>
      </c>
      <c r="AH753">
        <f t="shared" si="366"/>
        <v>0</v>
      </c>
      <c r="AI753">
        <f t="shared" si="366"/>
        <v>0</v>
      </c>
      <c r="AJ753">
        <f>(AS753)</f>
        <v>0</v>
      </c>
      <c r="AK753">
        <v>42340.83</v>
      </c>
      <c r="AL753">
        <v>42340.83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70</v>
      </c>
      <c r="AU753">
        <v>10</v>
      </c>
      <c r="AV753">
        <v>1</v>
      </c>
      <c r="AW753">
        <v>1</v>
      </c>
      <c r="AZ753">
        <v>1</v>
      </c>
      <c r="BA753">
        <v>1</v>
      </c>
      <c r="BB753">
        <v>1</v>
      </c>
      <c r="BC753">
        <v>1</v>
      </c>
      <c r="BD753" t="s">
        <v>3</v>
      </c>
      <c r="BE753" t="s">
        <v>3</v>
      </c>
      <c r="BF753" t="s">
        <v>3</v>
      </c>
      <c r="BG753" t="s">
        <v>3</v>
      </c>
      <c r="BH753">
        <v>3</v>
      </c>
      <c r="BI753">
        <v>4</v>
      </c>
      <c r="BJ753" t="s">
        <v>3</v>
      </c>
      <c r="BM753">
        <v>0</v>
      </c>
      <c r="BN753">
        <v>0</v>
      </c>
      <c r="BO753" t="s">
        <v>3</v>
      </c>
      <c r="BP753">
        <v>0</v>
      </c>
      <c r="BQ753">
        <v>1</v>
      </c>
      <c r="BR753">
        <v>0</v>
      </c>
      <c r="BS753">
        <v>1</v>
      </c>
      <c r="BT753">
        <v>1</v>
      </c>
      <c r="BU753">
        <v>1</v>
      </c>
      <c r="BV753">
        <v>1</v>
      </c>
      <c r="BW753">
        <v>1</v>
      </c>
      <c r="BX753">
        <v>1</v>
      </c>
      <c r="BY753" t="s">
        <v>3</v>
      </c>
      <c r="BZ753">
        <v>70</v>
      </c>
      <c r="CA753">
        <v>10</v>
      </c>
      <c r="CE753">
        <v>0</v>
      </c>
      <c r="CF753">
        <v>0</v>
      </c>
      <c r="CG753">
        <v>0</v>
      </c>
      <c r="CM753">
        <v>0</v>
      </c>
      <c r="CN753" t="s">
        <v>3</v>
      </c>
      <c r="CO753">
        <v>0</v>
      </c>
      <c r="CP753">
        <f>(P753+Q753+S753)</f>
        <v>19019.84</v>
      </c>
      <c r="CQ753">
        <f>(AC753*BC753*AW753)</f>
        <v>42340.83</v>
      </c>
      <c r="CR753">
        <f>((((ET753)*BB753-(EU753)*BS753)+AE753*BS753)*AV753)</f>
        <v>0</v>
      </c>
      <c r="CS753">
        <f>(AE753*BS753*AV753)</f>
        <v>0</v>
      </c>
      <c r="CT753">
        <f>(AF753*BA753*AV753)</f>
        <v>0</v>
      </c>
      <c r="CU753">
        <f>AG753</f>
        <v>0</v>
      </c>
      <c r="CV753">
        <f>(AH753*AV753)</f>
        <v>0</v>
      </c>
      <c r="CW753">
        <f t="shared" si="367"/>
        <v>0</v>
      </c>
      <c r="CX753">
        <f t="shared" si="367"/>
        <v>0</v>
      </c>
      <c r="CY753">
        <f>((S753*BZ753)/100)</f>
        <v>0</v>
      </c>
      <c r="CZ753">
        <f>((S753*CA753)/100)</f>
        <v>0</v>
      </c>
      <c r="DC753" t="s">
        <v>3</v>
      </c>
      <c r="DD753" t="s">
        <v>3</v>
      </c>
      <c r="DE753" t="s">
        <v>3</v>
      </c>
      <c r="DF753" t="s">
        <v>3</v>
      </c>
      <c r="DG753" t="s">
        <v>3</v>
      </c>
      <c r="DH753" t="s">
        <v>3</v>
      </c>
      <c r="DI753" t="s">
        <v>3</v>
      </c>
      <c r="DJ753" t="s">
        <v>3</v>
      </c>
      <c r="DK753" t="s">
        <v>3</v>
      </c>
      <c r="DL753" t="s">
        <v>3</v>
      </c>
      <c r="DM753" t="s">
        <v>3</v>
      </c>
      <c r="DN753">
        <v>0</v>
      </c>
      <c r="DO753">
        <v>0</v>
      </c>
      <c r="DP753">
        <v>1</v>
      </c>
      <c r="DQ753">
        <v>1</v>
      </c>
      <c r="DU753">
        <v>1010</v>
      </c>
      <c r="DV753" t="s">
        <v>198</v>
      </c>
      <c r="DW753" t="s">
        <v>198</v>
      </c>
      <c r="DX753">
        <v>1</v>
      </c>
      <c r="EE753">
        <v>38447819</v>
      </c>
      <c r="EF753">
        <v>1</v>
      </c>
      <c r="EG753" t="s">
        <v>23</v>
      </c>
      <c r="EH753">
        <v>0</v>
      </c>
      <c r="EI753" t="s">
        <v>3</v>
      </c>
      <c r="EJ753">
        <v>4</v>
      </c>
      <c r="EK753">
        <v>0</v>
      </c>
      <c r="EL753" t="s">
        <v>24</v>
      </c>
      <c r="EM753" t="s">
        <v>25</v>
      </c>
      <c r="EO753" t="s">
        <v>3</v>
      </c>
      <c r="EQ753">
        <v>0</v>
      </c>
      <c r="ER753">
        <v>42340.83</v>
      </c>
      <c r="ES753">
        <v>42340.83</v>
      </c>
      <c r="ET753">
        <v>0</v>
      </c>
      <c r="EU753">
        <v>0</v>
      </c>
      <c r="EV753">
        <v>0</v>
      </c>
      <c r="EW753">
        <v>0</v>
      </c>
      <c r="EX753">
        <v>0</v>
      </c>
      <c r="EZ753">
        <v>5</v>
      </c>
      <c r="FC753">
        <v>1</v>
      </c>
      <c r="FD753">
        <v>18</v>
      </c>
      <c r="FF753">
        <v>50809</v>
      </c>
      <c r="FQ753">
        <v>0</v>
      </c>
      <c r="FR753">
        <f>ROUND(IF(AND(BH753=3,BI753=3),P753,0),2)</f>
        <v>0</v>
      </c>
      <c r="FS753">
        <v>0</v>
      </c>
      <c r="FX753">
        <v>70</v>
      </c>
      <c r="FY753">
        <v>10</v>
      </c>
      <c r="GA753" t="s">
        <v>350</v>
      </c>
      <c r="GD753">
        <v>0</v>
      </c>
      <c r="GF753">
        <v>1653822074</v>
      </c>
      <c r="GG753">
        <v>2</v>
      </c>
      <c r="GH753">
        <v>3</v>
      </c>
      <c r="GI753">
        <v>-2</v>
      </c>
      <c r="GJ753">
        <v>0</v>
      </c>
      <c r="GK753">
        <f>ROUND(R753*(R12)/100,2)</f>
        <v>0</v>
      </c>
      <c r="GL753">
        <f>ROUND(IF(AND(BH753=3,BI753=3,FS753&lt;&gt;0),P753,0),2)</f>
        <v>0</v>
      </c>
      <c r="GM753">
        <f>ROUND(O753+X753+Y753+GK753,2)+GX753</f>
        <v>19019.84</v>
      </c>
      <c r="GN753">
        <f>IF(OR(BI753=0,BI753=1),ROUND(O753+X753+Y753+GK753,2),0)</f>
        <v>0</v>
      </c>
      <c r="GO753">
        <f>IF(BI753=2,ROUND(O753+X753+Y753+GK753,2),0)</f>
        <v>0</v>
      </c>
      <c r="GP753">
        <f>IF(BI753=4,ROUND(O753+X753+Y753+GK753,2)+GX753,0)</f>
        <v>19019.84</v>
      </c>
      <c r="GR753">
        <v>1</v>
      </c>
      <c r="GS753">
        <v>1</v>
      </c>
      <c r="GT753">
        <v>0</v>
      </c>
      <c r="GU753" t="s">
        <v>3</v>
      </c>
      <c r="GV753">
        <f>ROUND((GT753),6)</f>
        <v>0</v>
      </c>
      <c r="GW753">
        <v>1</v>
      </c>
      <c r="GX753">
        <f>ROUND(HC753*I753,2)</f>
        <v>0</v>
      </c>
      <c r="HA753">
        <v>0</v>
      </c>
      <c r="HB753">
        <v>0</v>
      </c>
      <c r="HC753">
        <f>GV753*GW753</f>
        <v>0</v>
      </c>
      <c r="HE753" t="s">
        <v>200</v>
      </c>
      <c r="HF753" t="s">
        <v>200</v>
      </c>
      <c r="IK753">
        <v>0</v>
      </c>
    </row>
    <row r="755" spans="1:245" x14ac:dyDescent="0.2">
      <c r="A755" s="2">
        <v>51</v>
      </c>
      <c r="B755" s="2">
        <f>B746</f>
        <v>1</v>
      </c>
      <c r="C755" s="2">
        <f>A746</f>
        <v>5</v>
      </c>
      <c r="D755" s="2">
        <f>ROW(A746)</f>
        <v>746</v>
      </c>
      <c r="E755" s="2"/>
      <c r="F755" s="2" t="str">
        <f>IF(F746&lt;&gt;"",F746,"")</f>
        <v>Новый подраздел</v>
      </c>
      <c r="G755" s="2" t="str">
        <f>IF(G746&lt;&gt;"",G746,"")</f>
        <v>Строительные работы</v>
      </c>
      <c r="H755" s="2">
        <v>0</v>
      </c>
      <c r="I755" s="2"/>
      <c r="J755" s="2"/>
      <c r="K755" s="2"/>
      <c r="L755" s="2"/>
      <c r="M755" s="2"/>
      <c r="N755" s="2"/>
      <c r="O755" s="2">
        <f t="shared" ref="O755:T755" si="368">ROUND(AB755,2)</f>
        <v>70419.03</v>
      </c>
      <c r="P755" s="2">
        <f t="shared" si="368"/>
        <v>58414.77</v>
      </c>
      <c r="Q755" s="2">
        <f t="shared" si="368"/>
        <v>464.1</v>
      </c>
      <c r="R755" s="2">
        <f t="shared" si="368"/>
        <v>114.27</v>
      </c>
      <c r="S755" s="2">
        <f t="shared" si="368"/>
        <v>11540.16</v>
      </c>
      <c r="T755" s="2">
        <f t="shared" si="368"/>
        <v>0</v>
      </c>
      <c r="U755" s="2">
        <f>AH755</f>
        <v>45.2</v>
      </c>
      <c r="V755" s="2">
        <f>AI755</f>
        <v>0</v>
      </c>
      <c r="W755" s="2">
        <f>ROUND(AJ755,2)</f>
        <v>0</v>
      </c>
      <c r="X755" s="2">
        <f>ROUND(AK755,2)</f>
        <v>8078.11</v>
      </c>
      <c r="Y755" s="2">
        <f>ROUND(AL755,2)</f>
        <v>1154.02</v>
      </c>
      <c r="Z755" s="2"/>
      <c r="AA755" s="2"/>
      <c r="AB755" s="2">
        <f>ROUND(SUMIF(AA750:AA753,"=38799519",O750:O753),2)</f>
        <v>70419.03</v>
      </c>
      <c r="AC755" s="2">
        <f>ROUND(SUMIF(AA750:AA753,"=38799519",P750:P753),2)</f>
        <v>58414.77</v>
      </c>
      <c r="AD755" s="2">
        <f>ROUND(SUMIF(AA750:AA753,"=38799519",Q750:Q753),2)</f>
        <v>464.1</v>
      </c>
      <c r="AE755" s="2">
        <f>ROUND(SUMIF(AA750:AA753,"=38799519",R750:R753),2)</f>
        <v>114.27</v>
      </c>
      <c r="AF755" s="2">
        <f>ROUND(SUMIF(AA750:AA753,"=38799519",S750:S753),2)</f>
        <v>11540.16</v>
      </c>
      <c r="AG755" s="2">
        <f>ROUND(SUMIF(AA750:AA753,"=38799519",T750:T753),2)</f>
        <v>0</v>
      </c>
      <c r="AH755" s="2">
        <f>SUMIF(AA750:AA753,"=38799519",U750:U753)</f>
        <v>45.2</v>
      </c>
      <c r="AI755" s="2">
        <f>SUMIF(AA750:AA753,"=38799519",V750:V753)</f>
        <v>0</v>
      </c>
      <c r="AJ755" s="2">
        <f>ROUND(SUMIF(AA750:AA753,"=38799519",W750:W753),2)</f>
        <v>0</v>
      </c>
      <c r="AK755" s="2">
        <f>ROUND(SUMIF(AA750:AA753,"=38799519",X750:X753),2)</f>
        <v>8078.11</v>
      </c>
      <c r="AL755" s="2">
        <f>ROUND(SUMIF(AA750:AA753,"=38799519",Y750:Y753),2)</f>
        <v>1154.02</v>
      </c>
      <c r="AM755" s="2"/>
      <c r="AN755" s="2"/>
      <c r="AO755" s="2">
        <f t="shared" ref="AO755:BD755" si="369">ROUND(BX755,2)</f>
        <v>0</v>
      </c>
      <c r="AP755" s="2">
        <f t="shared" si="369"/>
        <v>0</v>
      </c>
      <c r="AQ755" s="2">
        <f t="shared" si="369"/>
        <v>0</v>
      </c>
      <c r="AR755" s="2">
        <f t="shared" si="369"/>
        <v>79774.570000000007</v>
      </c>
      <c r="AS755" s="2">
        <f t="shared" si="369"/>
        <v>0</v>
      </c>
      <c r="AT755" s="2">
        <f t="shared" si="369"/>
        <v>0</v>
      </c>
      <c r="AU755" s="2">
        <f t="shared" si="369"/>
        <v>79774.570000000007</v>
      </c>
      <c r="AV755" s="2">
        <f t="shared" si="369"/>
        <v>58414.77</v>
      </c>
      <c r="AW755" s="2">
        <f t="shared" si="369"/>
        <v>58414.77</v>
      </c>
      <c r="AX755" s="2">
        <f t="shared" si="369"/>
        <v>0</v>
      </c>
      <c r="AY755" s="2">
        <f t="shared" si="369"/>
        <v>58414.77</v>
      </c>
      <c r="AZ755" s="2">
        <f t="shared" si="369"/>
        <v>0</v>
      </c>
      <c r="BA755" s="2">
        <f t="shared" si="369"/>
        <v>0</v>
      </c>
      <c r="BB755" s="2">
        <f t="shared" si="369"/>
        <v>0</v>
      </c>
      <c r="BC755" s="2">
        <f t="shared" si="369"/>
        <v>0</v>
      </c>
      <c r="BD755" s="2">
        <f t="shared" si="369"/>
        <v>0</v>
      </c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>
        <f>ROUND(SUMIF(AA750:AA753,"=38799519",FQ750:FQ753),2)</f>
        <v>0</v>
      </c>
      <c r="BY755" s="2">
        <f>ROUND(SUMIF(AA750:AA753,"=38799519",FR750:FR753),2)</f>
        <v>0</v>
      </c>
      <c r="BZ755" s="2">
        <f>ROUND(SUMIF(AA750:AA753,"=38799519",GL750:GL753),2)</f>
        <v>0</v>
      </c>
      <c r="CA755" s="2">
        <f>ROUND(SUMIF(AA750:AA753,"=38799519",GM750:GM753),2)</f>
        <v>79774.570000000007</v>
      </c>
      <c r="CB755" s="2">
        <f>ROUND(SUMIF(AA750:AA753,"=38799519",GN750:GN753),2)</f>
        <v>0</v>
      </c>
      <c r="CC755" s="2">
        <f>ROUND(SUMIF(AA750:AA753,"=38799519",GO750:GO753),2)</f>
        <v>0</v>
      </c>
      <c r="CD755" s="2">
        <f>ROUND(SUMIF(AA750:AA753,"=38799519",GP750:GP753),2)</f>
        <v>79774.570000000007</v>
      </c>
      <c r="CE755" s="2">
        <f>AC755-BX755</f>
        <v>58414.77</v>
      </c>
      <c r="CF755" s="2">
        <f>AC755-BY755</f>
        <v>58414.77</v>
      </c>
      <c r="CG755" s="2">
        <f>BX755-BZ755</f>
        <v>0</v>
      </c>
      <c r="CH755" s="2">
        <f>AC755-BX755-BY755+BZ755</f>
        <v>58414.77</v>
      </c>
      <c r="CI755" s="2">
        <f>BY755-BZ755</f>
        <v>0</v>
      </c>
      <c r="CJ755" s="2">
        <f>ROUND(SUMIF(AA750:AA753,"=38799519",GX750:GX753),2)</f>
        <v>0</v>
      </c>
      <c r="CK755" s="2">
        <f>ROUND(SUMIF(AA750:AA753,"=38799519",GY750:GY753),2)</f>
        <v>0</v>
      </c>
      <c r="CL755" s="2">
        <f>ROUND(SUMIF(AA750:AA753,"=38799519",GZ750:GZ753),2)</f>
        <v>0</v>
      </c>
      <c r="CM755" s="2">
        <f>ROUND(SUMIF(AA750:AA753,"=38799519",HD750:HD753),2)</f>
        <v>0</v>
      </c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3"/>
      <c r="DR755" s="3"/>
      <c r="DS755" s="3"/>
      <c r="DT755" s="3"/>
      <c r="DU755" s="3"/>
      <c r="DV755" s="3"/>
      <c r="DW755" s="3"/>
      <c r="DX755" s="3"/>
      <c r="DY755" s="3"/>
      <c r="DZ755" s="3"/>
      <c r="EA755" s="3"/>
      <c r="EB755" s="3"/>
      <c r="EC755" s="3"/>
      <c r="ED755" s="3"/>
      <c r="EE755" s="3"/>
      <c r="EF755" s="3"/>
      <c r="EG755" s="3"/>
      <c r="EH755" s="3"/>
      <c r="EI755" s="3"/>
      <c r="EJ755" s="3"/>
      <c r="EK755" s="3"/>
      <c r="EL755" s="3"/>
      <c r="EM755" s="3"/>
      <c r="EN755" s="3"/>
      <c r="EO755" s="3"/>
      <c r="EP755" s="3"/>
      <c r="EQ755" s="3"/>
      <c r="ER755" s="3"/>
      <c r="ES755" s="3"/>
      <c r="ET755" s="3"/>
      <c r="EU755" s="3"/>
      <c r="EV755" s="3"/>
      <c r="EW755" s="3"/>
      <c r="EX755" s="3"/>
      <c r="EY755" s="3"/>
      <c r="EZ755" s="3"/>
      <c r="FA755" s="3"/>
      <c r="FB755" s="3"/>
      <c r="FC755" s="3"/>
      <c r="FD755" s="3"/>
      <c r="FE755" s="3"/>
      <c r="FF755" s="3"/>
      <c r="FG755" s="3"/>
      <c r="FH755" s="3"/>
      <c r="FI755" s="3"/>
      <c r="FJ755" s="3"/>
      <c r="FK755" s="3"/>
      <c r="FL755" s="3"/>
      <c r="FM755" s="3"/>
      <c r="FN755" s="3"/>
      <c r="FO755" s="3"/>
      <c r="FP755" s="3"/>
      <c r="FQ755" s="3"/>
      <c r="FR755" s="3"/>
      <c r="FS755" s="3"/>
      <c r="FT755" s="3"/>
      <c r="FU755" s="3"/>
      <c r="FV755" s="3"/>
      <c r="FW755" s="3"/>
      <c r="FX755" s="3"/>
      <c r="FY755" s="3"/>
      <c r="FZ755" s="3"/>
      <c r="GA755" s="3"/>
      <c r="GB755" s="3"/>
      <c r="GC755" s="3"/>
      <c r="GD755" s="3"/>
      <c r="GE755" s="3"/>
      <c r="GF755" s="3"/>
      <c r="GG755" s="3"/>
      <c r="GH755" s="3"/>
      <c r="GI755" s="3"/>
      <c r="GJ755" s="3"/>
      <c r="GK755" s="3"/>
      <c r="GL755" s="3"/>
      <c r="GM755" s="3"/>
      <c r="GN755" s="3"/>
      <c r="GO755" s="3"/>
      <c r="GP755" s="3"/>
      <c r="GQ755" s="3"/>
      <c r="GR755" s="3"/>
      <c r="GS755" s="3"/>
      <c r="GT755" s="3"/>
      <c r="GU755" s="3"/>
      <c r="GV755" s="3"/>
      <c r="GW755" s="3"/>
      <c r="GX755" s="3">
        <v>0</v>
      </c>
    </row>
    <row r="757" spans="1:245" x14ac:dyDescent="0.2">
      <c r="A757" s="4">
        <v>50</v>
      </c>
      <c r="B757" s="4">
        <v>0</v>
      </c>
      <c r="C757" s="4">
        <v>0</v>
      </c>
      <c r="D757" s="4">
        <v>1</v>
      </c>
      <c r="E757" s="4">
        <v>201</v>
      </c>
      <c r="F757" s="4">
        <f>ROUND(Source!O755,O757)</f>
        <v>70419.03</v>
      </c>
      <c r="G757" s="4" t="s">
        <v>50</v>
      </c>
      <c r="H757" s="4" t="s">
        <v>51</v>
      </c>
      <c r="I757" s="4"/>
      <c r="J757" s="4"/>
      <c r="K757" s="4">
        <v>201</v>
      </c>
      <c r="L757" s="4">
        <v>1</v>
      </c>
      <c r="M757" s="4">
        <v>3</v>
      </c>
      <c r="N757" s="4" t="s">
        <v>3</v>
      </c>
      <c r="O757" s="4">
        <v>2</v>
      </c>
      <c r="P757" s="4"/>
      <c r="Q757" s="4"/>
      <c r="R757" s="4"/>
      <c r="S757" s="4"/>
      <c r="T757" s="4"/>
      <c r="U757" s="4"/>
      <c r="V757" s="4"/>
      <c r="W757" s="4"/>
    </row>
    <row r="758" spans="1:245" x14ac:dyDescent="0.2">
      <c r="A758" s="4">
        <v>50</v>
      </c>
      <c r="B758" s="4">
        <v>0</v>
      </c>
      <c r="C758" s="4">
        <v>0</v>
      </c>
      <c r="D758" s="4">
        <v>1</v>
      </c>
      <c r="E758" s="4">
        <v>202</v>
      </c>
      <c r="F758" s="4">
        <f>ROUND(Source!P755,O758)</f>
        <v>58414.77</v>
      </c>
      <c r="G758" s="4" t="s">
        <v>52</v>
      </c>
      <c r="H758" s="4" t="s">
        <v>53</v>
      </c>
      <c r="I758" s="4"/>
      <c r="J758" s="4"/>
      <c r="K758" s="4">
        <v>202</v>
      </c>
      <c r="L758" s="4">
        <v>2</v>
      </c>
      <c r="M758" s="4">
        <v>3</v>
      </c>
      <c r="N758" s="4" t="s">
        <v>3</v>
      </c>
      <c r="O758" s="4">
        <v>2</v>
      </c>
      <c r="P758" s="4"/>
      <c r="Q758" s="4"/>
      <c r="R758" s="4"/>
      <c r="S758" s="4"/>
      <c r="T758" s="4"/>
      <c r="U758" s="4"/>
      <c r="V758" s="4"/>
      <c r="W758" s="4"/>
    </row>
    <row r="759" spans="1:245" x14ac:dyDescent="0.2">
      <c r="A759" s="4">
        <v>50</v>
      </c>
      <c r="B759" s="4">
        <v>0</v>
      </c>
      <c r="C759" s="4">
        <v>0</v>
      </c>
      <c r="D759" s="4">
        <v>1</v>
      </c>
      <c r="E759" s="4">
        <v>222</v>
      </c>
      <c r="F759" s="4">
        <f>ROUND(Source!AO755,O759)</f>
        <v>0</v>
      </c>
      <c r="G759" s="4" t="s">
        <v>54</v>
      </c>
      <c r="H759" s="4" t="s">
        <v>55</v>
      </c>
      <c r="I759" s="4"/>
      <c r="J759" s="4"/>
      <c r="K759" s="4">
        <v>222</v>
      </c>
      <c r="L759" s="4">
        <v>3</v>
      </c>
      <c r="M759" s="4">
        <v>3</v>
      </c>
      <c r="N759" s="4" t="s">
        <v>3</v>
      </c>
      <c r="O759" s="4">
        <v>2</v>
      </c>
      <c r="P759" s="4"/>
      <c r="Q759" s="4"/>
      <c r="R759" s="4"/>
      <c r="S759" s="4"/>
      <c r="T759" s="4"/>
      <c r="U759" s="4"/>
      <c r="V759" s="4"/>
      <c r="W759" s="4"/>
    </row>
    <row r="760" spans="1:245" x14ac:dyDescent="0.2">
      <c r="A760" s="4">
        <v>50</v>
      </c>
      <c r="B760" s="4">
        <v>0</v>
      </c>
      <c r="C760" s="4">
        <v>0</v>
      </c>
      <c r="D760" s="4">
        <v>1</v>
      </c>
      <c r="E760" s="4">
        <v>225</v>
      </c>
      <c r="F760" s="4">
        <f>ROUND(Source!AV755,O760)</f>
        <v>58414.77</v>
      </c>
      <c r="G760" s="4" t="s">
        <v>56</v>
      </c>
      <c r="H760" s="4" t="s">
        <v>57</v>
      </c>
      <c r="I760" s="4"/>
      <c r="J760" s="4"/>
      <c r="K760" s="4">
        <v>225</v>
      </c>
      <c r="L760" s="4">
        <v>4</v>
      </c>
      <c r="M760" s="4">
        <v>3</v>
      </c>
      <c r="N760" s="4" t="s">
        <v>3</v>
      </c>
      <c r="O760" s="4">
        <v>2</v>
      </c>
      <c r="P760" s="4"/>
      <c r="Q760" s="4"/>
      <c r="R760" s="4"/>
      <c r="S760" s="4"/>
      <c r="T760" s="4"/>
      <c r="U760" s="4"/>
      <c r="V760" s="4"/>
      <c r="W760" s="4"/>
    </row>
    <row r="761" spans="1:245" x14ac:dyDescent="0.2">
      <c r="A761" s="4">
        <v>50</v>
      </c>
      <c r="B761" s="4">
        <v>0</v>
      </c>
      <c r="C761" s="4">
        <v>0</v>
      </c>
      <c r="D761" s="4">
        <v>1</v>
      </c>
      <c r="E761" s="4">
        <v>226</v>
      </c>
      <c r="F761" s="4">
        <f>ROUND(Source!AW755,O761)</f>
        <v>58414.77</v>
      </c>
      <c r="G761" s="4" t="s">
        <v>58</v>
      </c>
      <c r="H761" s="4" t="s">
        <v>59</v>
      </c>
      <c r="I761" s="4"/>
      <c r="J761" s="4"/>
      <c r="K761" s="4">
        <v>226</v>
      </c>
      <c r="L761" s="4">
        <v>5</v>
      </c>
      <c r="M761" s="4">
        <v>3</v>
      </c>
      <c r="N761" s="4" t="s">
        <v>3</v>
      </c>
      <c r="O761" s="4">
        <v>2</v>
      </c>
      <c r="P761" s="4"/>
      <c r="Q761" s="4"/>
      <c r="R761" s="4"/>
      <c r="S761" s="4"/>
      <c r="T761" s="4"/>
      <c r="U761" s="4"/>
      <c r="V761" s="4"/>
      <c r="W761" s="4"/>
    </row>
    <row r="762" spans="1:245" x14ac:dyDescent="0.2">
      <c r="A762" s="4">
        <v>50</v>
      </c>
      <c r="B762" s="4">
        <v>0</v>
      </c>
      <c r="C762" s="4">
        <v>0</v>
      </c>
      <c r="D762" s="4">
        <v>1</v>
      </c>
      <c r="E762" s="4">
        <v>227</v>
      </c>
      <c r="F762" s="4">
        <f>ROUND(Source!AX755,O762)</f>
        <v>0</v>
      </c>
      <c r="G762" s="4" t="s">
        <v>60</v>
      </c>
      <c r="H762" s="4" t="s">
        <v>61</v>
      </c>
      <c r="I762" s="4"/>
      <c r="J762" s="4"/>
      <c r="K762" s="4">
        <v>227</v>
      </c>
      <c r="L762" s="4">
        <v>6</v>
      </c>
      <c r="M762" s="4">
        <v>3</v>
      </c>
      <c r="N762" s="4" t="s">
        <v>3</v>
      </c>
      <c r="O762" s="4">
        <v>2</v>
      </c>
      <c r="P762" s="4"/>
      <c r="Q762" s="4"/>
      <c r="R762" s="4"/>
      <c r="S762" s="4"/>
      <c r="T762" s="4"/>
      <c r="U762" s="4"/>
      <c r="V762" s="4"/>
      <c r="W762" s="4"/>
    </row>
    <row r="763" spans="1:245" x14ac:dyDescent="0.2">
      <c r="A763" s="4">
        <v>50</v>
      </c>
      <c r="B763" s="4">
        <v>0</v>
      </c>
      <c r="C763" s="4">
        <v>0</v>
      </c>
      <c r="D763" s="4">
        <v>1</v>
      </c>
      <c r="E763" s="4">
        <v>228</v>
      </c>
      <c r="F763" s="4">
        <f>ROUND(Source!AY755,O763)</f>
        <v>58414.77</v>
      </c>
      <c r="G763" s="4" t="s">
        <v>62</v>
      </c>
      <c r="H763" s="4" t="s">
        <v>63</v>
      </c>
      <c r="I763" s="4"/>
      <c r="J763" s="4"/>
      <c r="K763" s="4">
        <v>228</v>
      </c>
      <c r="L763" s="4">
        <v>7</v>
      </c>
      <c r="M763" s="4">
        <v>3</v>
      </c>
      <c r="N763" s="4" t="s">
        <v>3</v>
      </c>
      <c r="O763" s="4">
        <v>2</v>
      </c>
      <c r="P763" s="4"/>
      <c r="Q763" s="4"/>
      <c r="R763" s="4"/>
      <c r="S763" s="4"/>
      <c r="T763" s="4"/>
      <c r="U763" s="4"/>
      <c r="V763" s="4"/>
      <c r="W763" s="4"/>
    </row>
    <row r="764" spans="1:245" x14ac:dyDescent="0.2">
      <c r="A764" s="4">
        <v>50</v>
      </c>
      <c r="B764" s="4">
        <v>0</v>
      </c>
      <c r="C764" s="4">
        <v>0</v>
      </c>
      <c r="D764" s="4">
        <v>1</v>
      </c>
      <c r="E764" s="4">
        <v>216</v>
      </c>
      <c r="F764" s="4">
        <f>ROUND(Source!AP755,O764)</f>
        <v>0</v>
      </c>
      <c r="G764" s="4" t="s">
        <v>64</v>
      </c>
      <c r="H764" s="4" t="s">
        <v>65</v>
      </c>
      <c r="I764" s="4"/>
      <c r="J764" s="4"/>
      <c r="K764" s="4">
        <v>216</v>
      </c>
      <c r="L764" s="4">
        <v>8</v>
      </c>
      <c r="M764" s="4">
        <v>3</v>
      </c>
      <c r="N764" s="4" t="s">
        <v>3</v>
      </c>
      <c r="O764" s="4">
        <v>2</v>
      </c>
      <c r="P764" s="4"/>
      <c r="Q764" s="4"/>
      <c r="R764" s="4"/>
      <c r="S764" s="4"/>
      <c r="T764" s="4"/>
      <c r="U764" s="4"/>
      <c r="V764" s="4"/>
      <c r="W764" s="4"/>
    </row>
    <row r="765" spans="1:245" x14ac:dyDescent="0.2">
      <c r="A765" s="4">
        <v>50</v>
      </c>
      <c r="B765" s="4">
        <v>0</v>
      </c>
      <c r="C765" s="4">
        <v>0</v>
      </c>
      <c r="D765" s="4">
        <v>1</v>
      </c>
      <c r="E765" s="4">
        <v>223</v>
      </c>
      <c r="F765" s="4">
        <f>ROUND(Source!AQ755,O765)</f>
        <v>0</v>
      </c>
      <c r="G765" s="4" t="s">
        <v>66</v>
      </c>
      <c r="H765" s="4" t="s">
        <v>67</v>
      </c>
      <c r="I765" s="4"/>
      <c r="J765" s="4"/>
      <c r="K765" s="4">
        <v>223</v>
      </c>
      <c r="L765" s="4">
        <v>9</v>
      </c>
      <c r="M765" s="4">
        <v>3</v>
      </c>
      <c r="N765" s="4" t="s">
        <v>3</v>
      </c>
      <c r="O765" s="4">
        <v>2</v>
      </c>
      <c r="P765" s="4"/>
      <c r="Q765" s="4"/>
      <c r="R765" s="4"/>
      <c r="S765" s="4"/>
      <c r="T765" s="4"/>
      <c r="U765" s="4"/>
      <c r="V765" s="4"/>
      <c r="W765" s="4"/>
    </row>
    <row r="766" spans="1:245" x14ac:dyDescent="0.2">
      <c r="A766" s="4">
        <v>50</v>
      </c>
      <c r="B766" s="4">
        <v>0</v>
      </c>
      <c r="C766" s="4">
        <v>0</v>
      </c>
      <c r="D766" s="4">
        <v>1</v>
      </c>
      <c r="E766" s="4">
        <v>229</v>
      </c>
      <c r="F766" s="4">
        <f>ROUND(Source!AZ755,O766)</f>
        <v>0</v>
      </c>
      <c r="G766" s="4" t="s">
        <v>68</v>
      </c>
      <c r="H766" s="4" t="s">
        <v>69</v>
      </c>
      <c r="I766" s="4"/>
      <c r="J766" s="4"/>
      <c r="K766" s="4">
        <v>229</v>
      </c>
      <c r="L766" s="4">
        <v>10</v>
      </c>
      <c r="M766" s="4">
        <v>3</v>
      </c>
      <c r="N766" s="4" t="s">
        <v>3</v>
      </c>
      <c r="O766" s="4">
        <v>2</v>
      </c>
      <c r="P766" s="4"/>
      <c r="Q766" s="4"/>
      <c r="R766" s="4"/>
      <c r="S766" s="4"/>
      <c r="T766" s="4"/>
      <c r="U766" s="4"/>
      <c r="V766" s="4"/>
      <c r="W766" s="4"/>
    </row>
    <row r="767" spans="1:245" x14ac:dyDescent="0.2">
      <c r="A767" s="4">
        <v>50</v>
      </c>
      <c r="B767" s="4">
        <v>0</v>
      </c>
      <c r="C767" s="4">
        <v>0</v>
      </c>
      <c r="D767" s="4">
        <v>1</v>
      </c>
      <c r="E767" s="4">
        <v>203</v>
      </c>
      <c r="F767" s="4">
        <f>ROUND(Source!Q755,O767)</f>
        <v>464.1</v>
      </c>
      <c r="G767" s="4" t="s">
        <v>70</v>
      </c>
      <c r="H767" s="4" t="s">
        <v>71</v>
      </c>
      <c r="I767" s="4"/>
      <c r="J767" s="4"/>
      <c r="K767" s="4">
        <v>203</v>
      </c>
      <c r="L767" s="4">
        <v>11</v>
      </c>
      <c r="M767" s="4">
        <v>3</v>
      </c>
      <c r="N767" s="4" t="s">
        <v>3</v>
      </c>
      <c r="O767" s="4">
        <v>2</v>
      </c>
      <c r="P767" s="4"/>
      <c r="Q767" s="4"/>
      <c r="R767" s="4"/>
      <c r="S767" s="4"/>
      <c r="T767" s="4"/>
      <c r="U767" s="4"/>
      <c r="V767" s="4"/>
      <c r="W767" s="4"/>
    </row>
    <row r="768" spans="1:245" x14ac:dyDescent="0.2">
      <c r="A768" s="4">
        <v>50</v>
      </c>
      <c r="B768" s="4">
        <v>0</v>
      </c>
      <c r="C768" s="4">
        <v>0</v>
      </c>
      <c r="D768" s="4">
        <v>1</v>
      </c>
      <c r="E768" s="4">
        <v>231</v>
      </c>
      <c r="F768" s="4">
        <f>ROUND(Source!BB755,O768)</f>
        <v>0</v>
      </c>
      <c r="G768" s="4" t="s">
        <v>72</v>
      </c>
      <c r="H768" s="4" t="s">
        <v>73</v>
      </c>
      <c r="I768" s="4"/>
      <c r="J768" s="4"/>
      <c r="K768" s="4">
        <v>231</v>
      </c>
      <c r="L768" s="4">
        <v>12</v>
      </c>
      <c r="M768" s="4">
        <v>3</v>
      </c>
      <c r="N768" s="4" t="s">
        <v>3</v>
      </c>
      <c r="O768" s="4">
        <v>2</v>
      </c>
      <c r="P768" s="4"/>
      <c r="Q768" s="4"/>
      <c r="R768" s="4"/>
      <c r="S768" s="4"/>
      <c r="T768" s="4"/>
      <c r="U768" s="4"/>
      <c r="V768" s="4"/>
      <c r="W768" s="4"/>
    </row>
    <row r="769" spans="1:23" x14ac:dyDescent="0.2">
      <c r="A769" s="4">
        <v>50</v>
      </c>
      <c r="B769" s="4">
        <v>0</v>
      </c>
      <c r="C769" s="4">
        <v>0</v>
      </c>
      <c r="D769" s="4">
        <v>1</v>
      </c>
      <c r="E769" s="4">
        <v>204</v>
      </c>
      <c r="F769" s="4">
        <f>ROUND(Source!R755,O769)</f>
        <v>114.27</v>
      </c>
      <c r="G769" s="4" t="s">
        <v>74</v>
      </c>
      <c r="H769" s="4" t="s">
        <v>75</v>
      </c>
      <c r="I769" s="4"/>
      <c r="J769" s="4"/>
      <c r="K769" s="4">
        <v>204</v>
      </c>
      <c r="L769" s="4">
        <v>13</v>
      </c>
      <c r="M769" s="4">
        <v>3</v>
      </c>
      <c r="N769" s="4" t="s">
        <v>3</v>
      </c>
      <c r="O769" s="4">
        <v>2</v>
      </c>
      <c r="P769" s="4"/>
      <c r="Q769" s="4"/>
      <c r="R769" s="4"/>
      <c r="S769" s="4"/>
      <c r="T769" s="4"/>
      <c r="U769" s="4"/>
      <c r="V769" s="4"/>
      <c r="W769" s="4"/>
    </row>
    <row r="770" spans="1:23" x14ac:dyDescent="0.2">
      <c r="A770" s="4">
        <v>50</v>
      </c>
      <c r="B770" s="4">
        <v>0</v>
      </c>
      <c r="C770" s="4">
        <v>0</v>
      </c>
      <c r="D770" s="4">
        <v>1</v>
      </c>
      <c r="E770" s="4">
        <v>205</v>
      </c>
      <c r="F770" s="4">
        <f>ROUND(Source!S755,O770)</f>
        <v>11540.16</v>
      </c>
      <c r="G770" s="4" t="s">
        <v>76</v>
      </c>
      <c r="H770" s="4" t="s">
        <v>77</v>
      </c>
      <c r="I770" s="4"/>
      <c r="J770" s="4"/>
      <c r="K770" s="4">
        <v>205</v>
      </c>
      <c r="L770" s="4">
        <v>14</v>
      </c>
      <c r="M770" s="4">
        <v>3</v>
      </c>
      <c r="N770" s="4" t="s">
        <v>3</v>
      </c>
      <c r="O770" s="4">
        <v>2</v>
      </c>
      <c r="P770" s="4"/>
      <c r="Q770" s="4"/>
      <c r="R770" s="4"/>
      <c r="S770" s="4"/>
      <c r="T770" s="4"/>
      <c r="U770" s="4"/>
      <c r="V770" s="4"/>
      <c r="W770" s="4"/>
    </row>
    <row r="771" spans="1:23" x14ac:dyDescent="0.2">
      <c r="A771" s="4">
        <v>50</v>
      </c>
      <c r="B771" s="4">
        <v>0</v>
      </c>
      <c r="C771" s="4">
        <v>0</v>
      </c>
      <c r="D771" s="4">
        <v>1</v>
      </c>
      <c r="E771" s="4">
        <v>232</v>
      </c>
      <c r="F771" s="4">
        <f>ROUND(Source!BC755,O771)</f>
        <v>0</v>
      </c>
      <c r="G771" s="4" t="s">
        <v>78</v>
      </c>
      <c r="H771" s="4" t="s">
        <v>79</v>
      </c>
      <c r="I771" s="4"/>
      <c r="J771" s="4"/>
      <c r="K771" s="4">
        <v>232</v>
      </c>
      <c r="L771" s="4">
        <v>15</v>
      </c>
      <c r="M771" s="4">
        <v>3</v>
      </c>
      <c r="N771" s="4" t="s">
        <v>3</v>
      </c>
      <c r="O771" s="4">
        <v>2</v>
      </c>
      <c r="P771" s="4"/>
      <c r="Q771" s="4"/>
      <c r="R771" s="4"/>
      <c r="S771" s="4"/>
      <c r="T771" s="4"/>
      <c r="U771" s="4"/>
      <c r="V771" s="4"/>
      <c r="W771" s="4"/>
    </row>
    <row r="772" spans="1:23" x14ac:dyDescent="0.2">
      <c r="A772" s="4">
        <v>50</v>
      </c>
      <c r="B772" s="4">
        <v>0</v>
      </c>
      <c r="C772" s="4">
        <v>0</v>
      </c>
      <c r="D772" s="4">
        <v>1</v>
      </c>
      <c r="E772" s="4">
        <v>214</v>
      </c>
      <c r="F772" s="4">
        <f>ROUND(Source!AS755,O772)</f>
        <v>0</v>
      </c>
      <c r="G772" s="4" t="s">
        <v>80</v>
      </c>
      <c r="H772" s="4" t="s">
        <v>81</v>
      </c>
      <c r="I772" s="4"/>
      <c r="J772" s="4"/>
      <c r="K772" s="4">
        <v>214</v>
      </c>
      <c r="L772" s="4">
        <v>16</v>
      </c>
      <c r="M772" s="4">
        <v>3</v>
      </c>
      <c r="N772" s="4" t="s">
        <v>3</v>
      </c>
      <c r="O772" s="4">
        <v>2</v>
      </c>
      <c r="P772" s="4"/>
      <c r="Q772" s="4"/>
      <c r="R772" s="4"/>
      <c r="S772" s="4"/>
      <c r="T772" s="4"/>
      <c r="U772" s="4"/>
      <c r="V772" s="4"/>
      <c r="W772" s="4"/>
    </row>
    <row r="773" spans="1:23" x14ac:dyDescent="0.2">
      <c r="A773" s="4">
        <v>50</v>
      </c>
      <c r="B773" s="4">
        <v>0</v>
      </c>
      <c r="C773" s="4">
        <v>0</v>
      </c>
      <c r="D773" s="4">
        <v>1</v>
      </c>
      <c r="E773" s="4">
        <v>215</v>
      </c>
      <c r="F773" s="4">
        <f>ROUND(Source!AT755,O773)</f>
        <v>0</v>
      </c>
      <c r="G773" s="4" t="s">
        <v>82</v>
      </c>
      <c r="H773" s="4" t="s">
        <v>83</v>
      </c>
      <c r="I773" s="4"/>
      <c r="J773" s="4"/>
      <c r="K773" s="4">
        <v>215</v>
      </c>
      <c r="L773" s="4">
        <v>17</v>
      </c>
      <c r="M773" s="4">
        <v>3</v>
      </c>
      <c r="N773" s="4" t="s">
        <v>3</v>
      </c>
      <c r="O773" s="4">
        <v>2</v>
      </c>
      <c r="P773" s="4"/>
      <c r="Q773" s="4"/>
      <c r="R773" s="4"/>
      <c r="S773" s="4"/>
      <c r="T773" s="4"/>
      <c r="U773" s="4"/>
      <c r="V773" s="4"/>
      <c r="W773" s="4"/>
    </row>
    <row r="774" spans="1:23" x14ac:dyDescent="0.2">
      <c r="A774" s="4">
        <v>50</v>
      </c>
      <c r="B774" s="4">
        <v>0</v>
      </c>
      <c r="C774" s="4">
        <v>0</v>
      </c>
      <c r="D774" s="4">
        <v>1</v>
      </c>
      <c r="E774" s="4">
        <v>217</v>
      </c>
      <c r="F774" s="4">
        <f>ROUND(Source!AU755,O774)</f>
        <v>79774.570000000007</v>
      </c>
      <c r="G774" s="4" t="s">
        <v>84</v>
      </c>
      <c r="H774" s="4" t="s">
        <v>85</v>
      </c>
      <c r="I774" s="4"/>
      <c r="J774" s="4"/>
      <c r="K774" s="4">
        <v>217</v>
      </c>
      <c r="L774" s="4">
        <v>18</v>
      </c>
      <c r="M774" s="4">
        <v>3</v>
      </c>
      <c r="N774" s="4" t="s">
        <v>3</v>
      </c>
      <c r="O774" s="4">
        <v>2</v>
      </c>
      <c r="P774" s="4"/>
      <c r="Q774" s="4"/>
      <c r="R774" s="4"/>
      <c r="S774" s="4"/>
      <c r="T774" s="4"/>
      <c r="U774" s="4"/>
      <c r="V774" s="4"/>
      <c r="W774" s="4"/>
    </row>
    <row r="775" spans="1:23" x14ac:dyDescent="0.2">
      <c r="A775" s="4">
        <v>50</v>
      </c>
      <c r="B775" s="4">
        <v>0</v>
      </c>
      <c r="C775" s="4">
        <v>0</v>
      </c>
      <c r="D775" s="4">
        <v>1</v>
      </c>
      <c r="E775" s="4">
        <v>230</v>
      </c>
      <c r="F775" s="4">
        <f>ROUND(Source!BA755,O775)</f>
        <v>0</v>
      </c>
      <c r="G775" s="4" t="s">
        <v>86</v>
      </c>
      <c r="H775" s="4" t="s">
        <v>87</v>
      </c>
      <c r="I775" s="4"/>
      <c r="J775" s="4"/>
      <c r="K775" s="4">
        <v>230</v>
      </c>
      <c r="L775" s="4">
        <v>19</v>
      </c>
      <c r="M775" s="4">
        <v>3</v>
      </c>
      <c r="N775" s="4" t="s">
        <v>3</v>
      </c>
      <c r="O775" s="4">
        <v>2</v>
      </c>
      <c r="P775" s="4"/>
      <c r="Q775" s="4"/>
      <c r="R775" s="4"/>
      <c r="S775" s="4"/>
      <c r="T775" s="4"/>
      <c r="U775" s="4"/>
      <c r="V775" s="4"/>
      <c r="W775" s="4"/>
    </row>
    <row r="776" spans="1:23" x14ac:dyDescent="0.2">
      <c r="A776" s="4">
        <v>50</v>
      </c>
      <c r="B776" s="4">
        <v>0</v>
      </c>
      <c r="C776" s="4">
        <v>0</v>
      </c>
      <c r="D776" s="4">
        <v>1</v>
      </c>
      <c r="E776" s="4">
        <v>206</v>
      </c>
      <c r="F776" s="4">
        <f>ROUND(Source!T755,O776)</f>
        <v>0</v>
      </c>
      <c r="G776" s="4" t="s">
        <v>88</v>
      </c>
      <c r="H776" s="4" t="s">
        <v>89</v>
      </c>
      <c r="I776" s="4"/>
      <c r="J776" s="4"/>
      <c r="K776" s="4">
        <v>206</v>
      </c>
      <c r="L776" s="4">
        <v>20</v>
      </c>
      <c r="M776" s="4">
        <v>3</v>
      </c>
      <c r="N776" s="4" t="s">
        <v>3</v>
      </c>
      <c r="O776" s="4">
        <v>2</v>
      </c>
      <c r="P776" s="4"/>
      <c r="Q776" s="4"/>
      <c r="R776" s="4"/>
      <c r="S776" s="4"/>
      <c r="T776" s="4"/>
      <c r="U776" s="4"/>
      <c r="V776" s="4"/>
      <c r="W776" s="4"/>
    </row>
    <row r="777" spans="1:23" x14ac:dyDescent="0.2">
      <c r="A777" s="4">
        <v>50</v>
      </c>
      <c r="B777" s="4">
        <v>0</v>
      </c>
      <c r="C777" s="4">
        <v>0</v>
      </c>
      <c r="D777" s="4">
        <v>1</v>
      </c>
      <c r="E777" s="4">
        <v>207</v>
      </c>
      <c r="F777" s="4">
        <f>Source!U755</f>
        <v>45.2</v>
      </c>
      <c r="G777" s="4" t="s">
        <v>90</v>
      </c>
      <c r="H777" s="4" t="s">
        <v>91</v>
      </c>
      <c r="I777" s="4"/>
      <c r="J777" s="4"/>
      <c r="K777" s="4">
        <v>207</v>
      </c>
      <c r="L777" s="4">
        <v>21</v>
      </c>
      <c r="M777" s="4">
        <v>3</v>
      </c>
      <c r="N777" s="4" t="s">
        <v>3</v>
      </c>
      <c r="O777" s="4">
        <v>-1</v>
      </c>
      <c r="P777" s="4"/>
      <c r="Q777" s="4"/>
      <c r="R777" s="4"/>
      <c r="S777" s="4"/>
      <c r="T777" s="4"/>
      <c r="U777" s="4"/>
      <c r="V777" s="4"/>
      <c r="W777" s="4"/>
    </row>
    <row r="778" spans="1:23" x14ac:dyDescent="0.2">
      <c r="A778" s="4">
        <v>50</v>
      </c>
      <c r="B778" s="4">
        <v>0</v>
      </c>
      <c r="C778" s="4">
        <v>0</v>
      </c>
      <c r="D778" s="4">
        <v>1</v>
      </c>
      <c r="E778" s="4">
        <v>208</v>
      </c>
      <c r="F778" s="4">
        <f>Source!V755</f>
        <v>0</v>
      </c>
      <c r="G778" s="4" t="s">
        <v>92</v>
      </c>
      <c r="H778" s="4" t="s">
        <v>93</v>
      </c>
      <c r="I778" s="4"/>
      <c r="J778" s="4"/>
      <c r="K778" s="4">
        <v>208</v>
      </c>
      <c r="L778" s="4">
        <v>22</v>
      </c>
      <c r="M778" s="4">
        <v>3</v>
      </c>
      <c r="N778" s="4" t="s">
        <v>3</v>
      </c>
      <c r="O778" s="4">
        <v>-1</v>
      </c>
      <c r="P778" s="4"/>
      <c r="Q778" s="4"/>
      <c r="R778" s="4"/>
      <c r="S778" s="4"/>
      <c r="T778" s="4"/>
      <c r="U778" s="4"/>
      <c r="V778" s="4"/>
      <c r="W778" s="4"/>
    </row>
    <row r="779" spans="1:23" x14ac:dyDescent="0.2">
      <c r="A779" s="4">
        <v>50</v>
      </c>
      <c r="B779" s="4">
        <v>0</v>
      </c>
      <c r="C779" s="4">
        <v>0</v>
      </c>
      <c r="D779" s="4">
        <v>1</v>
      </c>
      <c r="E779" s="4">
        <v>209</v>
      </c>
      <c r="F779" s="4">
        <f>ROUND(Source!W755,O779)</f>
        <v>0</v>
      </c>
      <c r="G779" s="4" t="s">
        <v>94</v>
      </c>
      <c r="H779" s="4" t="s">
        <v>95</v>
      </c>
      <c r="I779" s="4"/>
      <c r="J779" s="4"/>
      <c r="K779" s="4">
        <v>209</v>
      </c>
      <c r="L779" s="4">
        <v>23</v>
      </c>
      <c r="M779" s="4">
        <v>3</v>
      </c>
      <c r="N779" s="4" t="s">
        <v>3</v>
      </c>
      <c r="O779" s="4">
        <v>2</v>
      </c>
      <c r="P779" s="4"/>
      <c r="Q779" s="4"/>
      <c r="R779" s="4"/>
      <c r="S779" s="4"/>
      <c r="T779" s="4"/>
      <c r="U779" s="4"/>
      <c r="V779" s="4"/>
      <c r="W779" s="4"/>
    </row>
    <row r="780" spans="1:23" x14ac:dyDescent="0.2">
      <c r="A780" s="4">
        <v>50</v>
      </c>
      <c r="B780" s="4">
        <v>0</v>
      </c>
      <c r="C780" s="4">
        <v>0</v>
      </c>
      <c r="D780" s="4">
        <v>1</v>
      </c>
      <c r="E780" s="4">
        <v>233</v>
      </c>
      <c r="F780" s="4">
        <f>ROUND(Source!BD755,O780)</f>
        <v>0</v>
      </c>
      <c r="G780" s="4" t="s">
        <v>96</v>
      </c>
      <c r="H780" s="4" t="s">
        <v>97</v>
      </c>
      <c r="I780" s="4"/>
      <c r="J780" s="4"/>
      <c r="K780" s="4">
        <v>233</v>
      </c>
      <c r="L780" s="4">
        <v>24</v>
      </c>
      <c r="M780" s="4">
        <v>3</v>
      </c>
      <c r="N780" s="4" t="s">
        <v>3</v>
      </c>
      <c r="O780" s="4">
        <v>2</v>
      </c>
      <c r="P780" s="4"/>
      <c r="Q780" s="4"/>
      <c r="R780" s="4"/>
      <c r="S780" s="4"/>
      <c r="T780" s="4"/>
      <c r="U780" s="4"/>
      <c r="V780" s="4"/>
      <c r="W780" s="4"/>
    </row>
    <row r="781" spans="1:23" x14ac:dyDescent="0.2">
      <c r="A781" s="4">
        <v>50</v>
      </c>
      <c r="B781" s="4">
        <v>0</v>
      </c>
      <c r="C781" s="4">
        <v>0</v>
      </c>
      <c r="D781" s="4">
        <v>1</v>
      </c>
      <c r="E781" s="4">
        <v>210</v>
      </c>
      <c r="F781" s="4">
        <f>ROUND(Source!X755,O781)</f>
        <v>8078.11</v>
      </c>
      <c r="G781" s="4" t="s">
        <v>98</v>
      </c>
      <c r="H781" s="4" t="s">
        <v>99</v>
      </c>
      <c r="I781" s="4"/>
      <c r="J781" s="4"/>
      <c r="K781" s="4">
        <v>210</v>
      </c>
      <c r="L781" s="4">
        <v>25</v>
      </c>
      <c r="M781" s="4">
        <v>3</v>
      </c>
      <c r="N781" s="4" t="s">
        <v>3</v>
      </c>
      <c r="O781" s="4">
        <v>2</v>
      </c>
      <c r="P781" s="4"/>
      <c r="Q781" s="4"/>
      <c r="R781" s="4"/>
      <c r="S781" s="4"/>
      <c r="T781" s="4"/>
      <c r="U781" s="4"/>
      <c r="V781" s="4"/>
      <c r="W781" s="4"/>
    </row>
    <row r="782" spans="1:23" x14ac:dyDescent="0.2">
      <c r="A782" s="4">
        <v>50</v>
      </c>
      <c r="B782" s="4">
        <v>0</v>
      </c>
      <c r="C782" s="4">
        <v>0</v>
      </c>
      <c r="D782" s="4">
        <v>1</v>
      </c>
      <c r="E782" s="4">
        <v>211</v>
      </c>
      <c r="F782" s="4">
        <f>ROUND(Source!Y755,O782)</f>
        <v>1154.02</v>
      </c>
      <c r="G782" s="4" t="s">
        <v>100</v>
      </c>
      <c r="H782" s="4" t="s">
        <v>101</v>
      </c>
      <c r="I782" s="4"/>
      <c r="J782" s="4"/>
      <c r="K782" s="4">
        <v>211</v>
      </c>
      <c r="L782" s="4">
        <v>26</v>
      </c>
      <c r="M782" s="4">
        <v>3</v>
      </c>
      <c r="N782" s="4" t="s">
        <v>3</v>
      </c>
      <c r="O782" s="4">
        <v>2</v>
      </c>
      <c r="P782" s="4"/>
      <c r="Q782" s="4"/>
      <c r="R782" s="4"/>
      <c r="S782" s="4"/>
      <c r="T782" s="4"/>
      <c r="U782" s="4"/>
      <c r="V782" s="4"/>
      <c r="W782" s="4"/>
    </row>
    <row r="783" spans="1:23" x14ac:dyDescent="0.2">
      <c r="A783" s="4">
        <v>50</v>
      </c>
      <c r="B783" s="4">
        <v>0</v>
      </c>
      <c r="C783" s="4">
        <v>0</v>
      </c>
      <c r="D783" s="4">
        <v>1</v>
      </c>
      <c r="E783" s="4">
        <v>224</v>
      </c>
      <c r="F783" s="4">
        <f>ROUND(Source!AR755,O783)</f>
        <v>79774.570000000007</v>
      </c>
      <c r="G783" s="4" t="s">
        <v>102</v>
      </c>
      <c r="H783" s="4" t="s">
        <v>103</v>
      </c>
      <c r="I783" s="4"/>
      <c r="J783" s="4"/>
      <c r="K783" s="4">
        <v>224</v>
      </c>
      <c r="L783" s="4">
        <v>27</v>
      </c>
      <c r="M783" s="4">
        <v>3</v>
      </c>
      <c r="N783" s="4" t="s">
        <v>3</v>
      </c>
      <c r="O783" s="4">
        <v>2</v>
      </c>
      <c r="P783" s="4"/>
      <c r="Q783" s="4"/>
      <c r="R783" s="4"/>
      <c r="S783" s="4"/>
      <c r="T783" s="4"/>
      <c r="U783" s="4"/>
      <c r="V783" s="4"/>
      <c r="W783" s="4"/>
    </row>
    <row r="785" spans="1:206" x14ac:dyDescent="0.2">
      <c r="A785" s="2">
        <v>51</v>
      </c>
      <c r="B785" s="2">
        <f>B704</f>
        <v>1</v>
      </c>
      <c r="C785" s="2">
        <f>A704</f>
        <v>4</v>
      </c>
      <c r="D785" s="2">
        <f>ROW(A704)</f>
        <v>704</v>
      </c>
      <c r="E785" s="2"/>
      <c r="F785" s="2" t="str">
        <f>IF(F704&lt;&gt;"",F704,"")</f>
        <v>Новый раздел</v>
      </c>
      <c r="G785" s="2" t="str">
        <f>IF(G704&lt;&gt;"",G704,"")</f>
        <v>Контейнерная площадка</v>
      </c>
      <c r="H785" s="2">
        <v>0</v>
      </c>
      <c r="I785" s="2"/>
      <c r="J785" s="2"/>
      <c r="K785" s="2"/>
      <c r="L785" s="2"/>
      <c r="M785" s="2"/>
      <c r="N785" s="2"/>
      <c r="O785" s="2">
        <f t="shared" ref="O785:T785" si="370">ROUND(O716+O755+AB785,2)</f>
        <v>72425.19</v>
      </c>
      <c r="P785" s="2">
        <f t="shared" si="370"/>
        <v>58414.77</v>
      </c>
      <c r="Q785" s="2">
        <f t="shared" si="370"/>
        <v>506.51</v>
      </c>
      <c r="R785" s="2">
        <f t="shared" si="370"/>
        <v>116.02</v>
      </c>
      <c r="S785" s="2">
        <f t="shared" si="370"/>
        <v>13503.91</v>
      </c>
      <c r="T785" s="2">
        <f t="shared" si="370"/>
        <v>0</v>
      </c>
      <c r="U785" s="2">
        <f>U716+U755+AH785</f>
        <v>53.215900000000005</v>
      </c>
      <c r="V785" s="2">
        <f>V716+V755+AI785</f>
        <v>0</v>
      </c>
      <c r="W785" s="2">
        <f>ROUND(W716+W755+AJ785,2)</f>
        <v>0</v>
      </c>
      <c r="X785" s="2">
        <f>ROUND(X716+X755+AK785,2)</f>
        <v>9452.73</v>
      </c>
      <c r="Y785" s="2">
        <f>ROUND(Y716+Y755+AL785,2)</f>
        <v>1350.4</v>
      </c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>
        <f t="shared" ref="AO785:BD785" si="371">ROUND(AO716+AO755+BX785,2)</f>
        <v>0</v>
      </c>
      <c r="AP785" s="2">
        <f t="shared" si="371"/>
        <v>0</v>
      </c>
      <c r="AQ785" s="2">
        <f t="shared" si="371"/>
        <v>0</v>
      </c>
      <c r="AR785" s="2">
        <f t="shared" si="371"/>
        <v>83353.62</v>
      </c>
      <c r="AS785" s="2">
        <f t="shared" si="371"/>
        <v>0</v>
      </c>
      <c r="AT785" s="2">
        <f t="shared" si="371"/>
        <v>0</v>
      </c>
      <c r="AU785" s="2">
        <f t="shared" si="371"/>
        <v>83353.62</v>
      </c>
      <c r="AV785" s="2">
        <f t="shared" si="371"/>
        <v>58414.77</v>
      </c>
      <c r="AW785" s="2">
        <f t="shared" si="371"/>
        <v>58414.77</v>
      </c>
      <c r="AX785" s="2">
        <f t="shared" si="371"/>
        <v>0</v>
      </c>
      <c r="AY785" s="2">
        <f t="shared" si="371"/>
        <v>58414.77</v>
      </c>
      <c r="AZ785" s="2">
        <f t="shared" si="371"/>
        <v>0</v>
      </c>
      <c r="BA785" s="2">
        <f t="shared" si="371"/>
        <v>0</v>
      </c>
      <c r="BB785" s="2">
        <f t="shared" si="371"/>
        <v>0</v>
      </c>
      <c r="BC785" s="2">
        <f t="shared" si="371"/>
        <v>0</v>
      </c>
      <c r="BD785" s="2">
        <f t="shared" si="371"/>
        <v>0</v>
      </c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3"/>
      <c r="DH785" s="3"/>
      <c r="DI785" s="3"/>
      <c r="DJ785" s="3"/>
      <c r="DK785" s="3"/>
      <c r="DL785" s="3"/>
      <c r="DM785" s="3"/>
      <c r="DN785" s="3"/>
      <c r="DO785" s="3"/>
      <c r="DP785" s="3"/>
      <c r="DQ785" s="3"/>
      <c r="DR785" s="3"/>
      <c r="DS785" s="3"/>
      <c r="DT785" s="3"/>
      <c r="DU785" s="3"/>
      <c r="DV785" s="3"/>
      <c r="DW785" s="3"/>
      <c r="DX785" s="3"/>
      <c r="DY785" s="3"/>
      <c r="DZ785" s="3"/>
      <c r="EA785" s="3"/>
      <c r="EB785" s="3"/>
      <c r="EC785" s="3"/>
      <c r="ED785" s="3"/>
      <c r="EE785" s="3"/>
      <c r="EF785" s="3"/>
      <c r="EG785" s="3"/>
      <c r="EH785" s="3"/>
      <c r="EI785" s="3"/>
      <c r="EJ785" s="3"/>
      <c r="EK785" s="3"/>
      <c r="EL785" s="3"/>
      <c r="EM785" s="3"/>
      <c r="EN785" s="3"/>
      <c r="EO785" s="3"/>
      <c r="EP785" s="3"/>
      <c r="EQ785" s="3"/>
      <c r="ER785" s="3"/>
      <c r="ES785" s="3"/>
      <c r="ET785" s="3"/>
      <c r="EU785" s="3"/>
      <c r="EV785" s="3"/>
      <c r="EW785" s="3"/>
      <c r="EX785" s="3"/>
      <c r="EY785" s="3"/>
      <c r="EZ785" s="3"/>
      <c r="FA785" s="3"/>
      <c r="FB785" s="3"/>
      <c r="FC785" s="3"/>
      <c r="FD785" s="3"/>
      <c r="FE785" s="3"/>
      <c r="FF785" s="3"/>
      <c r="FG785" s="3"/>
      <c r="FH785" s="3"/>
      <c r="FI785" s="3"/>
      <c r="FJ785" s="3"/>
      <c r="FK785" s="3"/>
      <c r="FL785" s="3"/>
      <c r="FM785" s="3"/>
      <c r="FN785" s="3"/>
      <c r="FO785" s="3"/>
      <c r="FP785" s="3"/>
      <c r="FQ785" s="3"/>
      <c r="FR785" s="3"/>
      <c r="FS785" s="3"/>
      <c r="FT785" s="3"/>
      <c r="FU785" s="3"/>
      <c r="FV785" s="3"/>
      <c r="FW785" s="3"/>
      <c r="FX785" s="3"/>
      <c r="FY785" s="3"/>
      <c r="FZ785" s="3"/>
      <c r="GA785" s="3"/>
      <c r="GB785" s="3"/>
      <c r="GC785" s="3"/>
      <c r="GD785" s="3"/>
      <c r="GE785" s="3"/>
      <c r="GF785" s="3"/>
      <c r="GG785" s="3"/>
      <c r="GH785" s="3"/>
      <c r="GI785" s="3"/>
      <c r="GJ785" s="3"/>
      <c r="GK785" s="3"/>
      <c r="GL785" s="3"/>
      <c r="GM785" s="3"/>
      <c r="GN785" s="3"/>
      <c r="GO785" s="3"/>
      <c r="GP785" s="3"/>
      <c r="GQ785" s="3"/>
      <c r="GR785" s="3"/>
      <c r="GS785" s="3"/>
      <c r="GT785" s="3"/>
      <c r="GU785" s="3"/>
      <c r="GV785" s="3"/>
      <c r="GW785" s="3"/>
      <c r="GX785" s="3">
        <v>0</v>
      </c>
    </row>
    <row r="787" spans="1:206" x14ac:dyDescent="0.2">
      <c r="A787" s="4">
        <v>50</v>
      </c>
      <c r="B787" s="4">
        <v>0</v>
      </c>
      <c r="C787" s="4">
        <v>0</v>
      </c>
      <c r="D787" s="4">
        <v>1</v>
      </c>
      <c r="E787" s="4">
        <v>201</v>
      </c>
      <c r="F787" s="4">
        <f>ROUND(Source!O785,O787)</f>
        <v>72425.19</v>
      </c>
      <c r="G787" s="4" t="s">
        <v>50</v>
      </c>
      <c r="H787" s="4" t="s">
        <v>51</v>
      </c>
      <c r="I787" s="4"/>
      <c r="J787" s="4"/>
      <c r="K787" s="4">
        <v>201</v>
      </c>
      <c r="L787" s="4">
        <v>1</v>
      </c>
      <c r="M787" s="4">
        <v>3</v>
      </c>
      <c r="N787" s="4" t="s">
        <v>3</v>
      </c>
      <c r="O787" s="4">
        <v>2</v>
      </c>
      <c r="P787" s="4"/>
      <c r="Q787" s="4"/>
      <c r="R787" s="4"/>
      <c r="S787" s="4"/>
      <c r="T787" s="4"/>
      <c r="U787" s="4"/>
      <c r="V787" s="4"/>
      <c r="W787" s="4"/>
    </row>
    <row r="788" spans="1:206" x14ac:dyDescent="0.2">
      <c r="A788" s="4">
        <v>50</v>
      </c>
      <c r="B788" s="4">
        <v>0</v>
      </c>
      <c r="C788" s="4">
        <v>0</v>
      </c>
      <c r="D788" s="4">
        <v>1</v>
      </c>
      <c r="E788" s="4">
        <v>202</v>
      </c>
      <c r="F788" s="4">
        <f>ROUND(Source!P785,O788)</f>
        <v>58414.77</v>
      </c>
      <c r="G788" s="4" t="s">
        <v>52</v>
      </c>
      <c r="H788" s="4" t="s">
        <v>53</v>
      </c>
      <c r="I788" s="4"/>
      <c r="J788" s="4"/>
      <c r="K788" s="4">
        <v>202</v>
      </c>
      <c r="L788" s="4">
        <v>2</v>
      </c>
      <c r="M788" s="4">
        <v>3</v>
      </c>
      <c r="N788" s="4" t="s">
        <v>3</v>
      </c>
      <c r="O788" s="4">
        <v>2</v>
      </c>
      <c r="P788" s="4"/>
      <c r="Q788" s="4"/>
      <c r="R788" s="4"/>
      <c r="S788" s="4"/>
      <c r="T788" s="4"/>
      <c r="U788" s="4"/>
      <c r="V788" s="4"/>
      <c r="W788" s="4"/>
    </row>
    <row r="789" spans="1:206" x14ac:dyDescent="0.2">
      <c r="A789" s="4">
        <v>50</v>
      </c>
      <c r="B789" s="4">
        <v>0</v>
      </c>
      <c r="C789" s="4">
        <v>0</v>
      </c>
      <c r="D789" s="4">
        <v>1</v>
      </c>
      <c r="E789" s="4">
        <v>222</v>
      </c>
      <c r="F789" s="4">
        <f>ROUND(Source!AO785,O789)</f>
        <v>0</v>
      </c>
      <c r="G789" s="4" t="s">
        <v>54</v>
      </c>
      <c r="H789" s="4" t="s">
        <v>55</v>
      </c>
      <c r="I789" s="4"/>
      <c r="J789" s="4"/>
      <c r="K789" s="4">
        <v>222</v>
      </c>
      <c r="L789" s="4">
        <v>3</v>
      </c>
      <c r="M789" s="4">
        <v>3</v>
      </c>
      <c r="N789" s="4" t="s">
        <v>3</v>
      </c>
      <c r="O789" s="4">
        <v>2</v>
      </c>
      <c r="P789" s="4"/>
      <c r="Q789" s="4"/>
      <c r="R789" s="4"/>
      <c r="S789" s="4"/>
      <c r="T789" s="4"/>
      <c r="U789" s="4"/>
      <c r="V789" s="4"/>
      <c r="W789" s="4"/>
    </row>
    <row r="790" spans="1:206" x14ac:dyDescent="0.2">
      <c r="A790" s="4">
        <v>50</v>
      </c>
      <c r="B790" s="4">
        <v>0</v>
      </c>
      <c r="C790" s="4">
        <v>0</v>
      </c>
      <c r="D790" s="4">
        <v>1</v>
      </c>
      <c r="E790" s="4">
        <v>225</v>
      </c>
      <c r="F790" s="4">
        <f>ROUND(Source!AV785,O790)</f>
        <v>58414.77</v>
      </c>
      <c r="G790" s="4" t="s">
        <v>56</v>
      </c>
      <c r="H790" s="4" t="s">
        <v>57</v>
      </c>
      <c r="I790" s="4"/>
      <c r="J790" s="4"/>
      <c r="K790" s="4">
        <v>225</v>
      </c>
      <c r="L790" s="4">
        <v>4</v>
      </c>
      <c r="M790" s="4">
        <v>3</v>
      </c>
      <c r="N790" s="4" t="s">
        <v>3</v>
      </c>
      <c r="O790" s="4">
        <v>2</v>
      </c>
      <c r="P790" s="4"/>
      <c r="Q790" s="4"/>
      <c r="R790" s="4"/>
      <c r="S790" s="4"/>
      <c r="T790" s="4"/>
      <c r="U790" s="4"/>
      <c r="V790" s="4"/>
      <c r="W790" s="4"/>
    </row>
    <row r="791" spans="1:206" x14ac:dyDescent="0.2">
      <c r="A791" s="4">
        <v>50</v>
      </c>
      <c r="B791" s="4">
        <v>0</v>
      </c>
      <c r="C791" s="4">
        <v>0</v>
      </c>
      <c r="D791" s="4">
        <v>1</v>
      </c>
      <c r="E791" s="4">
        <v>226</v>
      </c>
      <c r="F791" s="4">
        <f>ROUND(Source!AW785,O791)</f>
        <v>58414.77</v>
      </c>
      <c r="G791" s="4" t="s">
        <v>58</v>
      </c>
      <c r="H791" s="4" t="s">
        <v>59</v>
      </c>
      <c r="I791" s="4"/>
      <c r="J791" s="4"/>
      <c r="K791" s="4">
        <v>226</v>
      </c>
      <c r="L791" s="4">
        <v>5</v>
      </c>
      <c r="M791" s="4">
        <v>3</v>
      </c>
      <c r="N791" s="4" t="s">
        <v>3</v>
      </c>
      <c r="O791" s="4">
        <v>2</v>
      </c>
      <c r="P791" s="4"/>
      <c r="Q791" s="4"/>
      <c r="R791" s="4"/>
      <c r="S791" s="4"/>
      <c r="T791" s="4"/>
      <c r="U791" s="4"/>
      <c r="V791" s="4"/>
      <c r="W791" s="4"/>
    </row>
    <row r="792" spans="1:206" x14ac:dyDescent="0.2">
      <c r="A792" s="4">
        <v>50</v>
      </c>
      <c r="B792" s="4">
        <v>0</v>
      </c>
      <c r="C792" s="4">
        <v>0</v>
      </c>
      <c r="D792" s="4">
        <v>1</v>
      </c>
      <c r="E792" s="4">
        <v>227</v>
      </c>
      <c r="F792" s="4">
        <f>ROUND(Source!AX785,O792)</f>
        <v>0</v>
      </c>
      <c r="G792" s="4" t="s">
        <v>60</v>
      </c>
      <c r="H792" s="4" t="s">
        <v>61</v>
      </c>
      <c r="I792" s="4"/>
      <c r="J792" s="4"/>
      <c r="K792" s="4">
        <v>227</v>
      </c>
      <c r="L792" s="4">
        <v>6</v>
      </c>
      <c r="M792" s="4">
        <v>3</v>
      </c>
      <c r="N792" s="4" t="s">
        <v>3</v>
      </c>
      <c r="O792" s="4">
        <v>2</v>
      </c>
      <c r="P792" s="4"/>
      <c r="Q792" s="4"/>
      <c r="R792" s="4"/>
      <c r="S792" s="4"/>
      <c r="T792" s="4"/>
      <c r="U792" s="4"/>
      <c r="V792" s="4"/>
      <c r="W792" s="4"/>
    </row>
    <row r="793" spans="1:206" x14ac:dyDescent="0.2">
      <c r="A793" s="4">
        <v>50</v>
      </c>
      <c r="B793" s="4">
        <v>0</v>
      </c>
      <c r="C793" s="4">
        <v>0</v>
      </c>
      <c r="D793" s="4">
        <v>1</v>
      </c>
      <c r="E793" s="4">
        <v>228</v>
      </c>
      <c r="F793" s="4">
        <f>ROUND(Source!AY785,O793)</f>
        <v>58414.77</v>
      </c>
      <c r="G793" s="4" t="s">
        <v>62</v>
      </c>
      <c r="H793" s="4" t="s">
        <v>63</v>
      </c>
      <c r="I793" s="4"/>
      <c r="J793" s="4"/>
      <c r="K793" s="4">
        <v>228</v>
      </c>
      <c r="L793" s="4">
        <v>7</v>
      </c>
      <c r="M793" s="4">
        <v>3</v>
      </c>
      <c r="N793" s="4" t="s">
        <v>3</v>
      </c>
      <c r="O793" s="4">
        <v>2</v>
      </c>
      <c r="P793" s="4"/>
      <c r="Q793" s="4"/>
      <c r="R793" s="4"/>
      <c r="S793" s="4"/>
      <c r="T793" s="4"/>
      <c r="U793" s="4"/>
      <c r="V793" s="4"/>
      <c r="W793" s="4"/>
    </row>
    <row r="794" spans="1:206" x14ac:dyDescent="0.2">
      <c r="A794" s="4">
        <v>50</v>
      </c>
      <c r="B794" s="4">
        <v>0</v>
      </c>
      <c r="C794" s="4">
        <v>0</v>
      </c>
      <c r="D794" s="4">
        <v>1</v>
      </c>
      <c r="E794" s="4">
        <v>216</v>
      </c>
      <c r="F794" s="4">
        <f>ROUND(Source!AP785,O794)</f>
        <v>0</v>
      </c>
      <c r="G794" s="4" t="s">
        <v>64</v>
      </c>
      <c r="H794" s="4" t="s">
        <v>65</v>
      </c>
      <c r="I794" s="4"/>
      <c r="J794" s="4"/>
      <c r="K794" s="4">
        <v>216</v>
      </c>
      <c r="L794" s="4">
        <v>8</v>
      </c>
      <c r="M794" s="4">
        <v>3</v>
      </c>
      <c r="N794" s="4" t="s">
        <v>3</v>
      </c>
      <c r="O794" s="4">
        <v>2</v>
      </c>
      <c r="P794" s="4"/>
      <c r="Q794" s="4"/>
      <c r="R794" s="4"/>
      <c r="S794" s="4"/>
      <c r="T794" s="4"/>
      <c r="U794" s="4"/>
      <c r="V794" s="4"/>
      <c r="W794" s="4"/>
    </row>
    <row r="795" spans="1:206" x14ac:dyDescent="0.2">
      <c r="A795" s="4">
        <v>50</v>
      </c>
      <c r="B795" s="4">
        <v>0</v>
      </c>
      <c r="C795" s="4">
        <v>0</v>
      </c>
      <c r="D795" s="4">
        <v>1</v>
      </c>
      <c r="E795" s="4">
        <v>223</v>
      </c>
      <c r="F795" s="4">
        <f>ROUND(Source!AQ785,O795)</f>
        <v>0</v>
      </c>
      <c r="G795" s="4" t="s">
        <v>66</v>
      </c>
      <c r="H795" s="4" t="s">
        <v>67</v>
      </c>
      <c r="I795" s="4"/>
      <c r="J795" s="4"/>
      <c r="K795" s="4">
        <v>223</v>
      </c>
      <c r="L795" s="4">
        <v>9</v>
      </c>
      <c r="M795" s="4">
        <v>3</v>
      </c>
      <c r="N795" s="4" t="s">
        <v>3</v>
      </c>
      <c r="O795" s="4">
        <v>2</v>
      </c>
      <c r="P795" s="4"/>
      <c r="Q795" s="4"/>
      <c r="R795" s="4"/>
      <c r="S795" s="4"/>
      <c r="T795" s="4"/>
      <c r="U795" s="4"/>
      <c r="V795" s="4"/>
      <c r="W795" s="4"/>
    </row>
    <row r="796" spans="1:206" x14ac:dyDescent="0.2">
      <c r="A796" s="4">
        <v>50</v>
      </c>
      <c r="B796" s="4">
        <v>0</v>
      </c>
      <c r="C796" s="4">
        <v>0</v>
      </c>
      <c r="D796" s="4">
        <v>1</v>
      </c>
      <c r="E796" s="4">
        <v>229</v>
      </c>
      <c r="F796" s="4">
        <f>ROUND(Source!AZ785,O796)</f>
        <v>0</v>
      </c>
      <c r="G796" s="4" t="s">
        <v>68</v>
      </c>
      <c r="H796" s="4" t="s">
        <v>69</v>
      </c>
      <c r="I796" s="4"/>
      <c r="J796" s="4"/>
      <c r="K796" s="4">
        <v>229</v>
      </c>
      <c r="L796" s="4">
        <v>10</v>
      </c>
      <c r="M796" s="4">
        <v>3</v>
      </c>
      <c r="N796" s="4" t="s">
        <v>3</v>
      </c>
      <c r="O796" s="4">
        <v>2</v>
      </c>
      <c r="P796" s="4"/>
      <c r="Q796" s="4"/>
      <c r="R796" s="4"/>
      <c r="S796" s="4"/>
      <c r="T796" s="4"/>
      <c r="U796" s="4"/>
      <c r="V796" s="4"/>
      <c r="W796" s="4"/>
    </row>
    <row r="797" spans="1:206" x14ac:dyDescent="0.2">
      <c r="A797" s="4">
        <v>50</v>
      </c>
      <c r="B797" s="4">
        <v>0</v>
      </c>
      <c r="C797" s="4">
        <v>0</v>
      </c>
      <c r="D797" s="4">
        <v>1</v>
      </c>
      <c r="E797" s="4">
        <v>203</v>
      </c>
      <c r="F797" s="4">
        <f>ROUND(Source!Q785,O797)</f>
        <v>506.51</v>
      </c>
      <c r="G797" s="4" t="s">
        <v>70</v>
      </c>
      <c r="H797" s="4" t="s">
        <v>71</v>
      </c>
      <c r="I797" s="4"/>
      <c r="J797" s="4"/>
      <c r="K797" s="4">
        <v>203</v>
      </c>
      <c r="L797" s="4">
        <v>11</v>
      </c>
      <c r="M797" s="4">
        <v>3</v>
      </c>
      <c r="N797" s="4" t="s">
        <v>3</v>
      </c>
      <c r="O797" s="4">
        <v>2</v>
      </c>
      <c r="P797" s="4"/>
      <c r="Q797" s="4"/>
      <c r="R797" s="4"/>
      <c r="S797" s="4"/>
      <c r="T797" s="4"/>
      <c r="U797" s="4"/>
      <c r="V797" s="4"/>
      <c r="W797" s="4"/>
    </row>
    <row r="798" spans="1:206" x14ac:dyDescent="0.2">
      <c r="A798" s="4">
        <v>50</v>
      </c>
      <c r="B798" s="4">
        <v>0</v>
      </c>
      <c r="C798" s="4">
        <v>0</v>
      </c>
      <c r="D798" s="4">
        <v>1</v>
      </c>
      <c r="E798" s="4">
        <v>231</v>
      </c>
      <c r="F798" s="4">
        <f>ROUND(Source!BB785,O798)</f>
        <v>0</v>
      </c>
      <c r="G798" s="4" t="s">
        <v>72</v>
      </c>
      <c r="H798" s="4" t="s">
        <v>73</v>
      </c>
      <c r="I798" s="4"/>
      <c r="J798" s="4"/>
      <c r="K798" s="4">
        <v>231</v>
      </c>
      <c r="L798" s="4">
        <v>12</v>
      </c>
      <c r="M798" s="4">
        <v>3</v>
      </c>
      <c r="N798" s="4" t="s">
        <v>3</v>
      </c>
      <c r="O798" s="4">
        <v>2</v>
      </c>
      <c r="P798" s="4"/>
      <c r="Q798" s="4"/>
      <c r="R798" s="4"/>
      <c r="S798" s="4"/>
      <c r="T798" s="4"/>
      <c r="U798" s="4"/>
      <c r="V798" s="4"/>
      <c r="W798" s="4"/>
    </row>
    <row r="799" spans="1:206" x14ac:dyDescent="0.2">
      <c r="A799" s="4">
        <v>50</v>
      </c>
      <c r="B799" s="4">
        <v>0</v>
      </c>
      <c r="C799" s="4">
        <v>0</v>
      </c>
      <c r="D799" s="4">
        <v>1</v>
      </c>
      <c r="E799" s="4">
        <v>204</v>
      </c>
      <c r="F799" s="4">
        <f>ROUND(Source!R785,O799)</f>
        <v>116.02</v>
      </c>
      <c r="G799" s="4" t="s">
        <v>74</v>
      </c>
      <c r="H799" s="4" t="s">
        <v>75</v>
      </c>
      <c r="I799" s="4"/>
      <c r="J799" s="4"/>
      <c r="K799" s="4">
        <v>204</v>
      </c>
      <c r="L799" s="4">
        <v>13</v>
      </c>
      <c r="M799" s="4">
        <v>3</v>
      </c>
      <c r="N799" s="4" t="s">
        <v>3</v>
      </c>
      <c r="O799" s="4">
        <v>2</v>
      </c>
      <c r="P799" s="4"/>
      <c r="Q799" s="4"/>
      <c r="R799" s="4"/>
      <c r="S799" s="4"/>
      <c r="T799" s="4"/>
      <c r="U799" s="4"/>
      <c r="V799" s="4"/>
      <c r="W799" s="4"/>
    </row>
    <row r="800" spans="1:206" x14ac:dyDescent="0.2">
      <c r="A800" s="4">
        <v>50</v>
      </c>
      <c r="B800" s="4">
        <v>0</v>
      </c>
      <c r="C800" s="4">
        <v>0</v>
      </c>
      <c r="D800" s="4">
        <v>1</v>
      </c>
      <c r="E800" s="4">
        <v>205</v>
      </c>
      <c r="F800" s="4">
        <f>ROUND(Source!S785,O800)</f>
        <v>13503.91</v>
      </c>
      <c r="G800" s="4" t="s">
        <v>76</v>
      </c>
      <c r="H800" s="4" t="s">
        <v>77</v>
      </c>
      <c r="I800" s="4"/>
      <c r="J800" s="4"/>
      <c r="K800" s="4">
        <v>205</v>
      </c>
      <c r="L800" s="4">
        <v>14</v>
      </c>
      <c r="M800" s="4">
        <v>3</v>
      </c>
      <c r="N800" s="4" t="s">
        <v>3</v>
      </c>
      <c r="O800" s="4">
        <v>2</v>
      </c>
      <c r="P800" s="4"/>
      <c r="Q800" s="4"/>
      <c r="R800" s="4"/>
      <c r="S800" s="4"/>
      <c r="T800" s="4"/>
      <c r="U800" s="4"/>
      <c r="V800" s="4"/>
      <c r="W800" s="4"/>
    </row>
    <row r="801" spans="1:88" x14ac:dyDescent="0.2">
      <c r="A801" s="4">
        <v>50</v>
      </c>
      <c r="B801" s="4">
        <v>0</v>
      </c>
      <c r="C801" s="4">
        <v>0</v>
      </c>
      <c r="D801" s="4">
        <v>1</v>
      </c>
      <c r="E801" s="4">
        <v>232</v>
      </c>
      <c r="F801" s="4">
        <f>ROUND(Source!BC785,O801)</f>
        <v>0</v>
      </c>
      <c r="G801" s="4" t="s">
        <v>78</v>
      </c>
      <c r="H801" s="4" t="s">
        <v>79</v>
      </c>
      <c r="I801" s="4"/>
      <c r="J801" s="4"/>
      <c r="K801" s="4">
        <v>232</v>
      </c>
      <c r="L801" s="4">
        <v>15</v>
      </c>
      <c r="M801" s="4">
        <v>3</v>
      </c>
      <c r="N801" s="4" t="s">
        <v>3</v>
      </c>
      <c r="O801" s="4">
        <v>2</v>
      </c>
      <c r="P801" s="4"/>
      <c r="Q801" s="4"/>
      <c r="R801" s="4"/>
      <c r="S801" s="4"/>
      <c r="T801" s="4"/>
      <c r="U801" s="4"/>
      <c r="V801" s="4"/>
      <c r="W801" s="4"/>
    </row>
    <row r="802" spans="1:88" x14ac:dyDescent="0.2">
      <c r="A802" s="4">
        <v>50</v>
      </c>
      <c r="B802" s="4">
        <v>0</v>
      </c>
      <c r="C802" s="4">
        <v>0</v>
      </c>
      <c r="D802" s="4">
        <v>1</v>
      </c>
      <c r="E802" s="4">
        <v>214</v>
      </c>
      <c r="F802" s="4">
        <f>ROUND(Source!AS785,O802)</f>
        <v>0</v>
      </c>
      <c r="G802" s="4" t="s">
        <v>80</v>
      </c>
      <c r="H802" s="4" t="s">
        <v>81</v>
      </c>
      <c r="I802" s="4"/>
      <c r="J802" s="4"/>
      <c r="K802" s="4">
        <v>214</v>
      </c>
      <c r="L802" s="4">
        <v>16</v>
      </c>
      <c r="M802" s="4">
        <v>3</v>
      </c>
      <c r="N802" s="4" t="s">
        <v>3</v>
      </c>
      <c r="O802" s="4">
        <v>2</v>
      </c>
      <c r="P802" s="4"/>
      <c r="Q802" s="4"/>
      <c r="R802" s="4"/>
      <c r="S802" s="4"/>
      <c r="T802" s="4"/>
      <c r="U802" s="4"/>
      <c r="V802" s="4"/>
      <c r="W802" s="4"/>
    </row>
    <row r="803" spans="1:88" x14ac:dyDescent="0.2">
      <c r="A803" s="4">
        <v>50</v>
      </c>
      <c r="B803" s="4">
        <v>0</v>
      </c>
      <c r="C803" s="4">
        <v>0</v>
      </c>
      <c r="D803" s="4">
        <v>1</v>
      </c>
      <c r="E803" s="4">
        <v>215</v>
      </c>
      <c r="F803" s="4">
        <f>ROUND(Source!AT785,O803)</f>
        <v>0</v>
      </c>
      <c r="G803" s="4" t="s">
        <v>82</v>
      </c>
      <c r="H803" s="4" t="s">
        <v>83</v>
      </c>
      <c r="I803" s="4"/>
      <c r="J803" s="4"/>
      <c r="K803" s="4">
        <v>215</v>
      </c>
      <c r="L803" s="4">
        <v>17</v>
      </c>
      <c r="M803" s="4">
        <v>3</v>
      </c>
      <c r="N803" s="4" t="s">
        <v>3</v>
      </c>
      <c r="O803" s="4">
        <v>2</v>
      </c>
      <c r="P803" s="4"/>
      <c r="Q803" s="4"/>
      <c r="R803" s="4"/>
      <c r="S803" s="4"/>
      <c r="T803" s="4"/>
      <c r="U803" s="4"/>
      <c r="V803" s="4"/>
      <c r="W803" s="4"/>
    </row>
    <row r="804" spans="1:88" x14ac:dyDescent="0.2">
      <c r="A804" s="4">
        <v>50</v>
      </c>
      <c r="B804" s="4">
        <v>0</v>
      </c>
      <c r="C804" s="4">
        <v>0</v>
      </c>
      <c r="D804" s="4">
        <v>1</v>
      </c>
      <c r="E804" s="4">
        <v>217</v>
      </c>
      <c r="F804" s="4">
        <f>ROUND(Source!AU785,O804)</f>
        <v>83353.62</v>
      </c>
      <c r="G804" s="4" t="s">
        <v>84</v>
      </c>
      <c r="H804" s="4" t="s">
        <v>85</v>
      </c>
      <c r="I804" s="4"/>
      <c r="J804" s="4"/>
      <c r="K804" s="4">
        <v>217</v>
      </c>
      <c r="L804" s="4">
        <v>18</v>
      </c>
      <c r="M804" s="4">
        <v>3</v>
      </c>
      <c r="N804" s="4" t="s">
        <v>3</v>
      </c>
      <c r="O804" s="4">
        <v>2</v>
      </c>
      <c r="P804" s="4"/>
      <c r="Q804" s="4"/>
      <c r="R804" s="4"/>
      <c r="S804" s="4"/>
      <c r="T804" s="4"/>
      <c r="U804" s="4"/>
      <c r="V804" s="4"/>
      <c r="W804" s="4"/>
    </row>
    <row r="805" spans="1:88" x14ac:dyDescent="0.2">
      <c r="A805" s="4">
        <v>50</v>
      </c>
      <c r="B805" s="4">
        <v>0</v>
      </c>
      <c r="C805" s="4">
        <v>0</v>
      </c>
      <c r="D805" s="4">
        <v>1</v>
      </c>
      <c r="E805" s="4">
        <v>230</v>
      </c>
      <c r="F805" s="4">
        <f>ROUND(Source!BA785,O805)</f>
        <v>0</v>
      </c>
      <c r="G805" s="4" t="s">
        <v>86</v>
      </c>
      <c r="H805" s="4" t="s">
        <v>87</v>
      </c>
      <c r="I805" s="4"/>
      <c r="J805" s="4"/>
      <c r="K805" s="4">
        <v>230</v>
      </c>
      <c r="L805" s="4">
        <v>19</v>
      </c>
      <c r="M805" s="4">
        <v>3</v>
      </c>
      <c r="N805" s="4" t="s">
        <v>3</v>
      </c>
      <c r="O805" s="4">
        <v>2</v>
      </c>
      <c r="P805" s="4"/>
      <c r="Q805" s="4"/>
      <c r="R805" s="4"/>
      <c r="S805" s="4"/>
      <c r="T805" s="4"/>
      <c r="U805" s="4"/>
      <c r="V805" s="4"/>
      <c r="W805" s="4"/>
    </row>
    <row r="806" spans="1:88" x14ac:dyDescent="0.2">
      <c r="A806" s="4">
        <v>50</v>
      </c>
      <c r="B806" s="4">
        <v>0</v>
      </c>
      <c r="C806" s="4">
        <v>0</v>
      </c>
      <c r="D806" s="4">
        <v>1</v>
      </c>
      <c r="E806" s="4">
        <v>206</v>
      </c>
      <c r="F806" s="4">
        <f>ROUND(Source!T785,O806)</f>
        <v>0</v>
      </c>
      <c r="G806" s="4" t="s">
        <v>88</v>
      </c>
      <c r="H806" s="4" t="s">
        <v>89</v>
      </c>
      <c r="I806" s="4"/>
      <c r="J806" s="4"/>
      <c r="K806" s="4">
        <v>206</v>
      </c>
      <c r="L806" s="4">
        <v>20</v>
      </c>
      <c r="M806" s="4">
        <v>3</v>
      </c>
      <c r="N806" s="4" t="s">
        <v>3</v>
      </c>
      <c r="O806" s="4">
        <v>2</v>
      </c>
      <c r="P806" s="4"/>
      <c r="Q806" s="4"/>
      <c r="R806" s="4"/>
      <c r="S806" s="4"/>
      <c r="T806" s="4"/>
      <c r="U806" s="4"/>
      <c r="V806" s="4"/>
      <c r="W806" s="4"/>
    </row>
    <row r="807" spans="1:88" x14ac:dyDescent="0.2">
      <c r="A807" s="4">
        <v>50</v>
      </c>
      <c r="B807" s="4">
        <v>0</v>
      </c>
      <c r="C807" s="4">
        <v>0</v>
      </c>
      <c r="D807" s="4">
        <v>1</v>
      </c>
      <c r="E807" s="4">
        <v>207</v>
      </c>
      <c r="F807" s="4">
        <f>Source!U785</f>
        <v>53.215900000000005</v>
      </c>
      <c r="G807" s="4" t="s">
        <v>90</v>
      </c>
      <c r="H807" s="4" t="s">
        <v>91</v>
      </c>
      <c r="I807" s="4"/>
      <c r="J807" s="4"/>
      <c r="K807" s="4">
        <v>207</v>
      </c>
      <c r="L807" s="4">
        <v>21</v>
      </c>
      <c r="M807" s="4">
        <v>3</v>
      </c>
      <c r="N807" s="4" t="s">
        <v>3</v>
      </c>
      <c r="O807" s="4">
        <v>-1</v>
      </c>
      <c r="P807" s="4"/>
      <c r="Q807" s="4"/>
      <c r="R807" s="4"/>
      <c r="S807" s="4"/>
      <c r="T807" s="4"/>
      <c r="U807" s="4"/>
      <c r="V807" s="4"/>
      <c r="W807" s="4"/>
    </row>
    <row r="808" spans="1:88" x14ac:dyDescent="0.2">
      <c r="A808" s="4">
        <v>50</v>
      </c>
      <c r="B808" s="4">
        <v>0</v>
      </c>
      <c r="C808" s="4">
        <v>0</v>
      </c>
      <c r="D808" s="4">
        <v>1</v>
      </c>
      <c r="E808" s="4">
        <v>208</v>
      </c>
      <c r="F808" s="4">
        <f>Source!V785</f>
        <v>0</v>
      </c>
      <c r="G808" s="4" t="s">
        <v>92</v>
      </c>
      <c r="H808" s="4" t="s">
        <v>93</v>
      </c>
      <c r="I808" s="4"/>
      <c r="J808" s="4"/>
      <c r="K808" s="4">
        <v>208</v>
      </c>
      <c r="L808" s="4">
        <v>22</v>
      </c>
      <c r="M808" s="4">
        <v>3</v>
      </c>
      <c r="N808" s="4" t="s">
        <v>3</v>
      </c>
      <c r="O808" s="4">
        <v>-1</v>
      </c>
      <c r="P808" s="4"/>
      <c r="Q808" s="4"/>
      <c r="R808" s="4"/>
      <c r="S808" s="4"/>
      <c r="T808" s="4"/>
      <c r="U808" s="4"/>
      <c r="V808" s="4"/>
      <c r="W808" s="4"/>
    </row>
    <row r="809" spans="1:88" x14ac:dyDescent="0.2">
      <c r="A809" s="4">
        <v>50</v>
      </c>
      <c r="B809" s="4">
        <v>0</v>
      </c>
      <c r="C809" s="4">
        <v>0</v>
      </c>
      <c r="D809" s="4">
        <v>1</v>
      </c>
      <c r="E809" s="4">
        <v>209</v>
      </c>
      <c r="F809" s="4">
        <f>ROUND(Source!W785,O809)</f>
        <v>0</v>
      </c>
      <c r="G809" s="4" t="s">
        <v>94</v>
      </c>
      <c r="H809" s="4" t="s">
        <v>95</v>
      </c>
      <c r="I809" s="4"/>
      <c r="J809" s="4"/>
      <c r="K809" s="4">
        <v>209</v>
      </c>
      <c r="L809" s="4">
        <v>23</v>
      </c>
      <c r="M809" s="4">
        <v>3</v>
      </c>
      <c r="N809" s="4" t="s">
        <v>3</v>
      </c>
      <c r="O809" s="4">
        <v>2</v>
      </c>
      <c r="P809" s="4"/>
      <c r="Q809" s="4"/>
      <c r="R809" s="4"/>
      <c r="S809" s="4"/>
      <c r="T809" s="4"/>
      <c r="U809" s="4"/>
      <c r="V809" s="4"/>
      <c r="W809" s="4"/>
    </row>
    <row r="810" spans="1:88" x14ac:dyDescent="0.2">
      <c r="A810" s="4">
        <v>50</v>
      </c>
      <c r="B810" s="4">
        <v>0</v>
      </c>
      <c r="C810" s="4">
        <v>0</v>
      </c>
      <c r="D810" s="4">
        <v>1</v>
      </c>
      <c r="E810" s="4">
        <v>233</v>
      </c>
      <c r="F810" s="4">
        <f>ROUND(Source!BD785,O810)</f>
        <v>0</v>
      </c>
      <c r="G810" s="4" t="s">
        <v>96</v>
      </c>
      <c r="H810" s="4" t="s">
        <v>97</v>
      </c>
      <c r="I810" s="4"/>
      <c r="J810" s="4"/>
      <c r="K810" s="4">
        <v>233</v>
      </c>
      <c r="L810" s="4">
        <v>24</v>
      </c>
      <c r="M810" s="4">
        <v>3</v>
      </c>
      <c r="N810" s="4" t="s">
        <v>3</v>
      </c>
      <c r="O810" s="4">
        <v>2</v>
      </c>
      <c r="P810" s="4"/>
      <c r="Q810" s="4"/>
      <c r="R810" s="4"/>
      <c r="S810" s="4"/>
      <c r="T810" s="4"/>
      <c r="U810" s="4"/>
      <c r="V810" s="4"/>
      <c r="W810" s="4"/>
    </row>
    <row r="811" spans="1:88" x14ac:dyDescent="0.2">
      <c r="A811" s="4">
        <v>50</v>
      </c>
      <c r="B811" s="4">
        <v>0</v>
      </c>
      <c r="C811" s="4">
        <v>0</v>
      </c>
      <c r="D811" s="4">
        <v>1</v>
      </c>
      <c r="E811" s="4">
        <v>210</v>
      </c>
      <c r="F811" s="4">
        <f>ROUND(Source!X785,O811)</f>
        <v>9452.73</v>
      </c>
      <c r="G811" s="4" t="s">
        <v>98</v>
      </c>
      <c r="H811" s="4" t="s">
        <v>99</v>
      </c>
      <c r="I811" s="4"/>
      <c r="J811" s="4"/>
      <c r="K811" s="4">
        <v>210</v>
      </c>
      <c r="L811" s="4">
        <v>25</v>
      </c>
      <c r="M811" s="4">
        <v>3</v>
      </c>
      <c r="N811" s="4" t="s">
        <v>3</v>
      </c>
      <c r="O811" s="4">
        <v>2</v>
      </c>
      <c r="P811" s="4"/>
      <c r="Q811" s="4"/>
      <c r="R811" s="4"/>
      <c r="S811" s="4"/>
      <c r="T811" s="4"/>
      <c r="U811" s="4"/>
      <c r="V811" s="4"/>
      <c r="W811" s="4"/>
    </row>
    <row r="812" spans="1:88" x14ac:dyDescent="0.2">
      <c r="A812" s="4">
        <v>50</v>
      </c>
      <c r="B812" s="4">
        <v>0</v>
      </c>
      <c r="C812" s="4">
        <v>0</v>
      </c>
      <c r="D812" s="4">
        <v>1</v>
      </c>
      <c r="E812" s="4">
        <v>211</v>
      </c>
      <c r="F812" s="4">
        <f>ROUND(Source!Y785,O812)</f>
        <v>1350.4</v>
      </c>
      <c r="G812" s="4" t="s">
        <v>100</v>
      </c>
      <c r="H812" s="4" t="s">
        <v>101</v>
      </c>
      <c r="I812" s="4"/>
      <c r="J812" s="4"/>
      <c r="K812" s="4">
        <v>211</v>
      </c>
      <c r="L812" s="4">
        <v>26</v>
      </c>
      <c r="M812" s="4">
        <v>3</v>
      </c>
      <c r="N812" s="4" t="s">
        <v>3</v>
      </c>
      <c r="O812" s="4">
        <v>2</v>
      </c>
      <c r="P812" s="4"/>
      <c r="Q812" s="4"/>
      <c r="R812" s="4"/>
      <c r="S812" s="4"/>
      <c r="T812" s="4"/>
      <c r="U812" s="4"/>
      <c r="V812" s="4"/>
      <c r="W812" s="4"/>
    </row>
    <row r="813" spans="1:88" x14ac:dyDescent="0.2">
      <c r="A813" s="4">
        <v>50</v>
      </c>
      <c r="B813" s="4">
        <v>0</v>
      </c>
      <c r="C813" s="4">
        <v>0</v>
      </c>
      <c r="D813" s="4">
        <v>1</v>
      </c>
      <c r="E813" s="4">
        <v>224</v>
      </c>
      <c r="F813" s="4">
        <f>ROUND(Source!AR785,O813)</f>
        <v>83353.62</v>
      </c>
      <c r="G813" s="4" t="s">
        <v>102</v>
      </c>
      <c r="H813" s="4" t="s">
        <v>103</v>
      </c>
      <c r="I813" s="4"/>
      <c r="J813" s="4"/>
      <c r="K813" s="4">
        <v>224</v>
      </c>
      <c r="L813" s="4">
        <v>27</v>
      </c>
      <c r="M813" s="4">
        <v>3</v>
      </c>
      <c r="N813" s="4" t="s">
        <v>3</v>
      </c>
      <c r="O813" s="4">
        <v>2</v>
      </c>
      <c r="P813" s="4"/>
      <c r="Q813" s="4"/>
      <c r="R813" s="4"/>
      <c r="S813" s="4"/>
      <c r="T813" s="4"/>
      <c r="U813" s="4"/>
      <c r="V813" s="4"/>
      <c r="W813" s="4"/>
    </row>
    <row r="815" spans="1:88" x14ac:dyDescent="0.2">
      <c r="A815" s="1">
        <v>4</v>
      </c>
      <c r="B815" s="1">
        <v>1</v>
      </c>
      <c r="C815" s="1"/>
      <c r="D815" s="1">
        <f>ROW(A858)</f>
        <v>858</v>
      </c>
      <c r="E815" s="1"/>
      <c r="F815" s="1" t="s">
        <v>12</v>
      </c>
      <c r="G815" s="1" t="s">
        <v>351</v>
      </c>
      <c r="H815" s="1" t="s">
        <v>3</v>
      </c>
      <c r="I815" s="1">
        <v>0</v>
      </c>
      <c r="J815" s="1"/>
      <c r="K815" s="1">
        <v>0</v>
      </c>
      <c r="L815" s="1"/>
      <c r="M815" s="1"/>
      <c r="N815" s="1"/>
      <c r="O815" s="1"/>
      <c r="P815" s="1"/>
      <c r="Q815" s="1"/>
      <c r="R815" s="1"/>
      <c r="S815" s="1"/>
      <c r="T815" s="1"/>
      <c r="U815" s="1" t="s">
        <v>3</v>
      </c>
      <c r="V815" s="1">
        <v>0</v>
      </c>
      <c r="W815" s="1"/>
      <c r="X815" s="1"/>
      <c r="Y815" s="1"/>
      <c r="Z815" s="1"/>
      <c r="AA815" s="1"/>
      <c r="AB815" s="1" t="s">
        <v>3</v>
      </c>
      <c r="AC815" s="1" t="s">
        <v>3</v>
      </c>
      <c r="AD815" s="1" t="s">
        <v>3</v>
      </c>
      <c r="AE815" s="1" t="s">
        <v>3</v>
      </c>
      <c r="AF815" s="1" t="s">
        <v>3</v>
      </c>
      <c r="AG815" s="1" t="s">
        <v>3</v>
      </c>
      <c r="AH815" s="1"/>
      <c r="AI815" s="1"/>
      <c r="AJ815" s="1"/>
      <c r="AK815" s="1"/>
      <c r="AL815" s="1"/>
      <c r="AM815" s="1"/>
      <c r="AN815" s="1"/>
      <c r="AO815" s="1"/>
      <c r="AP815" s="1" t="s">
        <v>3</v>
      </c>
      <c r="AQ815" s="1" t="s">
        <v>3</v>
      </c>
      <c r="AR815" s="1" t="s">
        <v>3</v>
      </c>
      <c r="AS815" s="1"/>
      <c r="AT815" s="1"/>
      <c r="AU815" s="1"/>
      <c r="AV815" s="1"/>
      <c r="AW815" s="1"/>
      <c r="AX815" s="1"/>
      <c r="AY815" s="1"/>
      <c r="AZ815" s="1" t="s">
        <v>3</v>
      </c>
      <c r="BA815" s="1"/>
      <c r="BB815" s="1" t="s">
        <v>3</v>
      </c>
      <c r="BC815" s="1" t="s">
        <v>3</v>
      </c>
      <c r="BD815" s="1" t="s">
        <v>3</v>
      </c>
      <c r="BE815" s="1" t="s">
        <v>3</v>
      </c>
      <c r="BF815" s="1" t="s">
        <v>3</v>
      </c>
      <c r="BG815" s="1" t="s">
        <v>3</v>
      </c>
      <c r="BH815" s="1" t="s">
        <v>3</v>
      </c>
      <c r="BI815" s="1" t="s">
        <v>3</v>
      </c>
      <c r="BJ815" s="1" t="s">
        <v>3</v>
      </c>
      <c r="BK815" s="1" t="s">
        <v>3</v>
      </c>
      <c r="BL815" s="1" t="s">
        <v>3</v>
      </c>
      <c r="BM815" s="1" t="s">
        <v>3</v>
      </c>
      <c r="BN815" s="1" t="s">
        <v>3</v>
      </c>
      <c r="BO815" s="1" t="s">
        <v>3</v>
      </c>
      <c r="BP815" s="1" t="s">
        <v>3</v>
      </c>
      <c r="BQ815" s="1"/>
      <c r="BR815" s="1"/>
      <c r="BS815" s="1"/>
      <c r="BT815" s="1"/>
      <c r="BU815" s="1"/>
      <c r="BV815" s="1"/>
      <c r="BW815" s="1"/>
      <c r="BX815" s="1">
        <v>0</v>
      </c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>
        <v>0</v>
      </c>
    </row>
    <row r="817" spans="1:245" x14ac:dyDescent="0.2">
      <c r="A817" s="2">
        <v>52</v>
      </c>
      <c r="B817" s="2">
        <f t="shared" ref="B817:G817" si="372">B858</f>
        <v>1</v>
      </c>
      <c r="C817" s="2">
        <f t="shared" si="372"/>
        <v>4</v>
      </c>
      <c r="D817" s="2">
        <f t="shared" si="372"/>
        <v>815</v>
      </c>
      <c r="E817" s="2">
        <f t="shared" si="372"/>
        <v>0</v>
      </c>
      <c r="F817" s="2" t="str">
        <f t="shared" si="372"/>
        <v>Новый раздел</v>
      </c>
      <c r="G817" s="2" t="str">
        <f t="shared" si="372"/>
        <v>Асфальт и борткамень</v>
      </c>
      <c r="H817" s="2"/>
      <c r="I817" s="2"/>
      <c r="J817" s="2"/>
      <c r="K817" s="2"/>
      <c r="L817" s="2"/>
      <c r="M817" s="2"/>
      <c r="N817" s="2"/>
      <c r="O817" s="2">
        <f t="shared" ref="O817:AT817" si="373">O858</f>
        <v>413830.6</v>
      </c>
      <c r="P817" s="2">
        <f t="shared" si="373"/>
        <v>385508.43</v>
      </c>
      <c r="Q817" s="2">
        <f t="shared" si="373"/>
        <v>9182.43</v>
      </c>
      <c r="R817" s="2">
        <f t="shared" si="373"/>
        <v>7184.08</v>
      </c>
      <c r="S817" s="2">
        <f t="shared" si="373"/>
        <v>19139.740000000002</v>
      </c>
      <c r="T817" s="2">
        <f t="shared" si="373"/>
        <v>0</v>
      </c>
      <c r="U817" s="2">
        <f t="shared" si="373"/>
        <v>86.6952</v>
      </c>
      <c r="V817" s="2">
        <f t="shared" si="373"/>
        <v>0</v>
      </c>
      <c r="W817" s="2">
        <f t="shared" si="373"/>
        <v>0</v>
      </c>
      <c r="X817" s="2">
        <f t="shared" si="373"/>
        <v>13397.82</v>
      </c>
      <c r="Y817" s="2">
        <f t="shared" si="373"/>
        <v>1913.98</v>
      </c>
      <c r="Z817" s="2">
        <f t="shared" si="373"/>
        <v>0</v>
      </c>
      <c r="AA817" s="2">
        <f t="shared" si="373"/>
        <v>0</v>
      </c>
      <c r="AB817" s="2">
        <f t="shared" si="373"/>
        <v>0</v>
      </c>
      <c r="AC817" s="2">
        <f t="shared" si="373"/>
        <v>0</v>
      </c>
      <c r="AD817" s="2">
        <f t="shared" si="373"/>
        <v>0</v>
      </c>
      <c r="AE817" s="2">
        <f t="shared" si="373"/>
        <v>0</v>
      </c>
      <c r="AF817" s="2">
        <f t="shared" si="373"/>
        <v>0</v>
      </c>
      <c r="AG817" s="2">
        <f t="shared" si="373"/>
        <v>0</v>
      </c>
      <c r="AH817" s="2">
        <f t="shared" si="373"/>
        <v>0</v>
      </c>
      <c r="AI817" s="2">
        <f t="shared" si="373"/>
        <v>0</v>
      </c>
      <c r="AJ817" s="2">
        <f t="shared" si="373"/>
        <v>0</v>
      </c>
      <c r="AK817" s="2">
        <f t="shared" si="373"/>
        <v>0</v>
      </c>
      <c r="AL817" s="2">
        <f t="shared" si="373"/>
        <v>0</v>
      </c>
      <c r="AM817" s="2">
        <f t="shared" si="373"/>
        <v>0</v>
      </c>
      <c r="AN817" s="2">
        <f t="shared" si="373"/>
        <v>0</v>
      </c>
      <c r="AO817" s="2">
        <f t="shared" si="373"/>
        <v>0</v>
      </c>
      <c r="AP817" s="2">
        <f t="shared" si="373"/>
        <v>0</v>
      </c>
      <c r="AQ817" s="2">
        <f t="shared" si="373"/>
        <v>0</v>
      </c>
      <c r="AR817" s="2">
        <f t="shared" si="373"/>
        <v>436901.21</v>
      </c>
      <c r="AS817" s="2">
        <f t="shared" si="373"/>
        <v>0</v>
      </c>
      <c r="AT817" s="2">
        <f t="shared" si="373"/>
        <v>0</v>
      </c>
      <c r="AU817" s="2">
        <f t="shared" ref="AU817:BZ817" si="374">AU858</f>
        <v>436901.21</v>
      </c>
      <c r="AV817" s="2">
        <f t="shared" si="374"/>
        <v>385508.43</v>
      </c>
      <c r="AW817" s="2">
        <f t="shared" si="374"/>
        <v>385508.43</v>
      </c>
      <c r="AX817" s="2">
        <f t="shared" si="374"/>
        <v>0</v>
      </c>
      <c r="AY817" s="2">
        <f t="shared" si="374"/>
        <v>385508.43</v>
      </c>
      <c r="AZ817" s="2">
        <f t="shared" si="374"/>
        <v>0</v>
      </c>
      <c r="BA817" s="2">
        <f t="shared" si="374"/>
        <v>0</v>
      </c>
      <c r="BB817" s="2">
        <f t="shared" si="374"/>
        <v>0</v>
      </c>
      <c r="BC817" s="2">
        <f t="shared" si="374"/>
        <v>0</v>
      </c>
      <c r="BD817" s="2">
        <f t="shared" si="374"/>
        <v>0</v>
      </c>
      <c r="BE817" s="2">
        <f t="shared" si="374"/>
        <v>0</v>
      </c>
      <c r="BF817" s="2">
        <f t="shared" si="374"/>
        <v>0</v>
      </c>
      <c r="BG817" s="2">
        <f t="shared" si="374"/>
        <v>0</v>
      </c>
      <c r="BH817" s="2">
        <f t="shared" si="374"/>
        <v>0</v>
      </c>
      <c r="BI817" s="2">
        <f t="shared" si="374"/>
        <v>0</v>
      </c>
      <c r="BJ817" s="2">
        <f t="shared" si="374"/>
        <v>0</v>
      </c>
      <c r="BK817" s="2">
        <f t="shared" si="374"/>
        <v>0</v>
      </c>
      <c r="BL817" s="2">
        <f t="shared" si="374"/>
        <v>0</v>
      </c>
      <c r="BM817" s="2">
        <f t="shared" si="374"/>
        <v>0</v>
      </c>
      <c r="BN817" s="2">
        <f t="shared" si="374"/>
        <v>0</v>
      </c>
      <c r="BO817" s="2">
        <f t="shared" si="374"/>
        <v>0</v>
      </c>
      <c r="BP817" s="2">
        <f t="shared" si="374"/>
        <v>0</v>
      </c>
      <c r="BQ817" s="2">
        <f t="shared" si="374"/>
        <v>0</v>
      </c>
      <c r="BR817" s="2">
        <f t="shared" si="374"/>
        <v>0</v>
      </c>
      <c r="BS817" s="2">
        <f t="shared" si="374"/>
        <v>0</v>
      </c>
      <c r="BT817" s="2">
        <f t="shared" si="374"/>
        <v>0</v>
      </c>
      <c r="BU817" s="2">
        <f t="shared" si="374"/>
        <v>0</v>
      </c>
      <c r="BV817" s="2">
        <f t="shared" si="374"/>
        <v>0</v>
      </c>
      <c r="BW817" s="2">
        <f t="shared" si="374"/>
        <v>0</v>
      </c>
      <c r="BX817" s="2">
        <f t="shared" si="374"/>
        <v>0</v>
      </c>
      <c r="BY817" s="2">
        <f t="shared" si="374"/>
        <v>0</v>
      </c>
      <c r="BZ817" s="2">
        <f t="shared" si="374"/>
        <v>0</v>
      </c>
      <c r="CA817" s="2">
        <f t="shared" ref="CA817:DF817" si="375">CA858</f>
        <v>0</v>
      </c>
      <c r="CB817" s="2">
        <f t="shared" si="375"/>
        <v>0</v>
      </c>
      <c r="CC817" s="2">
        <f t="shared" si="375"/>
        <v>0</v>
      </c>
      <c r="CD817" s="2">
        <f t="shared" si="375"/>
        <v>0</v>
      </c>
      <c r="CE817" s="2">
        <f t="shared" si="375"/>
        <v>0</v>
      </c>
      <c r="CF817" s="2">
        <f t="shared" si="375"/>
        <v>0</v>
      </c>
      <c r="CG817" s="2">
        <f t="shared" si="375"/>
        <v>0</v>
      </c>
      <c r="CH817" s="2">
        <f t="shared" si="375"/>
        <v>0</v>
      </c>
      <c r="CI817" s="2">
        <f t="shared" si="375"/>
        <v>0</v>
      </c>
      <c r="CJ817" s="2">
        <f t="shared" si="375"/>
        <v>0</v>
      </c>
      <c r="CK817" s="2">
        <f t="shared" si="375"/>
        <v>0</v>
      </c>
      <c r="CL817" s="2">
        <f t="shared" si="375"/>
        <v>0</v>
      </c>
      <c r="CM817" s="2">
        <f t="shared" si="375"/>
        <v>0</v>
      </c>
      <c r="CN817" s="2">
        <f t="shared" si="375"/>
        <v>0</v>
      </c>
      <c r="CO817" s="2">
        <f t="shared" si="375"/>
        <v>0</v>
      </c>
      <c r="CP817" s="2">
        <f t="shared" si="375"/>
        <v>0</v>
      </c>
      <c r="CQ817" s="2">
        <f t="shared" si="375"/>
        <v>0</v>
      </c>
      <c r="CR817" s="2">
        <f t="shared" si="375"/>
        <v>0</v>
      </c>
      <c r="CS817" s="2">
        <f t="shared" si="375"/>
        <v>0</v>
      </c>
      <c r="CT817" s="2">
        <f t="shared" si="375"/>
        <v>0</v>
      </c>
      <c r="CU817" s="2">
        <f t="shared" si="375"/>
        <v>0</v>
      </c>
      <c r="CV817" s="2">
        <f t="shared" si="375"/>
        <v>0</v>
      </c>
      <c r="CW817" s="2">
        <f t="shared" si="375"/>
        <v>0</v>
      </c>
      <c r="CX817" s="2">
        <f t="shared" si="375"/>
        <v>0</v>
      </c>
      <c r="CY817" s="2">
        <f t="shared" si="375"/>
        <v>0</v>
      </c>
      <c r="CZ817" s="2">
        <f t="shared" si="375"/>
        <v>0</v>
      </c>
      <c r="DA817" s="2">
        <f t="shared" si="375"/>
        <v>0</v>
      </c>
      <c r="DB817" s="2">
        <f t="shared" si="375"/>
        <v>0</v>
      </c>
      <c r="DC817" s="2">
        <f t="shared" si="375"/>
        <v>0</v>
      </c>
      <c r="DD817" s="2">
        <f t="shared" si="375"/>
        <v>0</v>
      </c>
      <c r="DE817" s="2">
        <f t="shared" si="375"/>
        <v>0</v>
      </c>
      <c r="DF817" s="2">
        <f t="shared" si="375"/>
        <v>0</v>
      </c>
      <c r="DG817" s="3">
        <f t="shared" ref="DG817:EL817" si="376">DG858</f>
        <v>0</v>
      </c>
      <c r="DH817" s="3">
        <f t="shared" si="376"/>
        <v>0</v>
      </c>
      <c r="DI817" s="3">
        <f t="shared" si="376"/>
        <v>0</v>
      </c>
      <c r="DJ817" s="3">
        <f t="shared" si="376"/>
        <v>0</v>
      </c>
      <c r="DK817" s="3">
        <f t="shared" si="376"/>
        <v>0</v>
      </c>
      <c r="DL817" s="3">
        <f t="shared" si="376"/>
        <v>0</v>
      </c>
      <c r="DM817" s="3">
        <f t="shared" si="376"/>
        <v>0</v>
      </c>
      <c r="DN817" s="3">
        <f t="shared" si="376"/>
        <v>0</v>
      </c>
      <c r="DO817" s="3">
        <f t="shared" si="376"/>
        <v>0</v>
      </c>
      <c r="DP817" s="3">
        <f t="shared" si="376"/>
        <v>0</v>
      </c>
      <c r="DQ817" s="3">
        <f t="shared" si="376"/>
        <v>0</v>
      </c>
      <c r="DR817" s="3">
        <f t="shared" si="376"/>
        <v>0</v>
      </c>
      <c r="DS817" s="3">
        <f t="shared" si="376"/>
        <v>0</v>
      </c>
      <c r="DT817" s="3">
        <f t="shared" si="376"/>
        <v>0</v>
      </c>
      <c r="DU817" s="3">
        <f t="shared" si="376"/>
        <v>0</v>
      </c>
      <c r="DV817" s="3">
        <f t="shared" si="376"/>
        <v>0</v>
      </c>
      <c r="DW817" s="3">
        <f t="shared" si="376"/>
        <v>0</v>
      </c>
      <c r="DX817" s="3">
        <f t="shared" si="376"/>
        <v>0</v>
      </c>
      <c r="DY817" s="3">
        <f t="shared" si="376"/>
        <v>0</v>
      </c>
      <c r="DZ817" s="3">
        <f t="shared" si="376"/>
        <v>0</v>
      </c>
      <c r="EA817" s="3">
        <f t="shared" si="376"/>
        <v>0</v>
      </c>
      <c r="EB817" s="3">
        <f t="shared" si="376"/>
        <v>0</v>
      </c>
      <c r="EC817" s="3">
        <f t="shared" si="376"/>
        <v>0</v>
      </c>
      <c r="ED817" s="3">
        <f t="shared" si="376"/>
        <v>0</v>
      </c>
      <c r="EE817" s="3">
        <f t="shared" si="376"/>
        <v>0</v>
      </c>
      <c r="EF817" s="3">
        <f t="shared" si="376"/>
        <v>0</v>
      </c>
      <c r="EG817" s="3">
        <f t="shared" si="376"/>
        <v>0</v>
      </c>
      <c r="EH817" s="3">
        <f t="shared" si="376"/>
        <v>0</v>
      </c>
      <c r="EI817" s="3">
        <f t="shared" si="376"/>
        <v>0</v>
      </c>
      <c r="EJ817" s="3">
        <f t="shared" si="376"/>
        <v>0</v>
      </c>
      <c r="EK817" s="3">
        <f t="shared" si="376"/>
        <v>0</v>
      </c>
      <c r="EL817" s="3">
        <f t="shared" si="376"/>
        <v>0</v>
      </c>
      <c r="EM817" s="3">
        <f t="shared" ref="EM817:FR817" si="377">EM858</f>
        <v>0</v>
      </c>
      <c r="EN817" s="3">
        <f t="shared" si="377"/>
        <v>0</v>
      </c>
      <c r="EO817" s="3">
        <f t="shared" si="377"/>
        <v>0</v>
      </c>
      <c r="EP817" s="3">
        <f t="shared" si="377"/>
        <v>0</v>
      </c>
      <c r="EQ817" s="3">
        <f t="shared" si="377"/>
        <v>0</v>
      </c>
      <c r="ER817" s="3">
        <f t="shared" si="377"/>
        <v>0</v>
      </c>
      <c r="ES817" s="3">
        <f t="shared" si="377"/>
        <v>0</v>
      </c>
      <c r="ET817" s="3">
        <f t="shared" si="377"/>
        <v>0</v>
      </c>
      <c r="EU817" s="3">
        <f t="shared" si="377"/>
        <v>0</v>
      </c>
      <c r="EV817" s="3">
        <f t="shared" si="377"/>
        <v>0</v>
      </c>
      <c r="EW817" s="3">
        <f t="shared" si="377"/>
        <v>0</v>
      </c>
      <c r="EX817" s="3">
        <f t="shared" si="377"/>
        <v>0</v>
      </c>
      <c r="EY817" s="3">
        <f t="shared" si="377"/>
        <v>0</v>
      </c>
      <c r="EZ817" s="3">
        <f t="shared" si="377"/>
        <v>0</v>
      </c>
      <c r="FA817" s="3">
        <f t="shared" si="377"/>
        <v>0</v>
      </c>
      <c r="FB817" s="3">
        <f t="shared" si="377"/>
        <v>0</v>
      </c>
      <c r="FC817" s="3">
        <f t="shared" si="377"/>
        <v>0</v>
      </c>
      <c r="FD817" s="3">
        <f t="shared" si="377"/>
        <v>0</v>
      </c>
      <c r="FE817" s="3">
        <f t="shared" si="377"/>
        <v>0</v>
      </c>
      <c r="FF817" s="3">
        <f t="shared" si="377"/>
        <v>0</v>
      </c>
      <c r="FG817" s="3">
        <f t="shared" si="377"/>
        <v>0</v>
      </c>
      <c r="FH817" s="3">
        <f t="shared" si="377"/>
        <v>0</v>
      </c>
      <c r="FI817" s="3">
        <f t="shared" si="377"/>
        <v>0</v>
      </c>
      <c r="FJ817" s="3">
        <f t="shared" si="377"/>
        <v>0</v>
      </c>
      <c r="FK817" s="3">
        <f t="shared" si="377"/>
        <v>0</v>
      </c>
      <c r="FL817" s="3">
        <f t="shared" si="377"/>
        <v>0</v>
      </c>
      <c r="FM817" s="3">
        <f t="shared" si="377"/>
        <v>0</v>
      </c>
      <c r="FN817" s="3">
        <f t="shared" si="377"/>
        <v>0</v>
      </c>
      <c r="FO817" s="3">
        <f t="shared" si="377"/>
        <v>0</v>
      </c>
      <c r="FP817" s="3">
        <f t="shared" si="377"/>
        <v>0</v>
      </c>
      <c r="FQ817" s="3">
        <f t="shared" si="377"/>
        <v>0</v>
      </c>
      <c r="FR817" s="3">
        <f t="shared" si="377"/>
        <v>0</v>
      </c>
      <c r="FS817" s="3">
        <f t="shared" ref="FS817:GX817" si="378">FS858</f>
        <v>0</v>
      </c>
      <c r="FT817" s="3">
        <f t="shared" si="378"/>
        <v>0</v>
      </c>
      <c r="FU817" s="3">
        <f t="shared" si="378"/>
        <v>0</v>
      </c>
      <c r="FV817" s="3">
        <f t="shared" si="378"/>
        <v>0</v>
      </c>
      <c r="FW817" s="3">
        <f t="shared" si="378"/>
        <v>0</v>
      </c>
      <c r="FX817" s="3">
        <f t="shared" si="378"/>
        <v>0</v>
      </c>
      <c r="FY817" s="3">
        <f t="shared" si="378"/>
        <v>0</v>
      </c>
      <c r="FZ817" s="3">
        <f t="shared" si="378"/>
        <v>0</v>
      </c>
      <c r="GA817" s="3">
        <f t="shared" si="378"/>
        <v>0</v>
      </c>
      <c r="GB817" s="3">
        <f t="shared" si="378"/>
        <v>0</v>
      </c>
      <c r="GC817" s="3">
        <f t="shared" si="378"/>
        <v>0</v>
      </c>
      <c r="GD817" s="3">
        <f t="shared" si="378"/>
        <v>0</v>
      </c>
      <c r="GE817" s="3">
        <f t="shared" si="378"/>
        <v>0</v>
      </c>
      <c r="GF817" s="3">
        <f t="shared" si="378"/>
        <v>0</v>
      </c>
      <c r="GG817" s="3">
        <f t="shared" si="378"/>
        <v>0</v>
      </c>
      <c r="GH817" s="3">
        <f t="shared" si="378"/>
        <v>0</v>
      </c>
      <c r="GI817" s="3">
        <f t="shared" si="378"/>
        <v>0</v>
      </c>
      <c r="GJ817" s="3">
        <f t="shared" si="378"/>
        <v>0</v>
      </c>
      <c r="GK817" s="3">
        <f t="shared" si="378"/>
        <v>0</v>
      </c>
      <c r="GL817" s="3">
        <f t="shared" si="378"/>
        <v>0</v>
      </c>
      <c r="GM817" s="3">
        <f t="shared" si="378"/>
        <v>0</v>
      </c>
      <c r="GN817" s="3">
        <f t="shared" si="378"/>
        <v>0</v>
      </c>
      <c r="GO817" s="3">
        <f t="shared" si="378"/>
        <v>0</v>
      </c>
      <c r="GP817" s="3">
        <f t="shared" si="378"/>
        <v>0</v>
      </c>
      <c r="GQ817" s="3">
        <f t="shared" si="378"/>
        <v>0</v>
      </c>
      <c r="GR817" s="3">
        <f t="shared" si="378"/>
        <v>0</v>
      </c>
      <c r="GS817" s="3">
        <f t="shared" si="378"/>
        <v>0</v>
      </c>
      <c r="GT817" s="3">
        <f t="shared" si="378"/>
        <v>0</v>
      </c>
      <c r="GU817" s="3">
        <f t="shared" si="378"/>
        <v>0</v>
      </c>
      <c r="GV817" s="3">
        <f t="shared" si="378"/>
        <v>0</v>
      </c>
      <c r="GW817" s="3">
        <f t="shared" si="378"/>
        <v>0</v>
      </c>
      <c r="GX817" s="3">
        <f t="shared" si="378"/>
        <v>0</v>
      </c>
    </row>
    <row r="819" spans="1:245" x14ac:dyDescent="0.2">
      <c r="A819" s="1">
        <v>5</v>
      </c>
      <c r="B819" s="1">
        <v>1</v>
      </c>
      <c r="C819" s="1"/>
      <c r="D819" s="1">
        <f>ROW(A828)</f>
        <v>828</v>
      </c>
      <c r="E819" s="1"/>
      <c r="F819" s="1" t="s">
        <v>14</v>
      </c>
      <c r="G819" s="1" t="s">
        <v>352</v>
      </c>
      <c r="H819" s="1" t="s">
        <v>3</v>
      </c>
      <c r="I819" s="1">
        <v>0</v>
      </c>
      <c r="J819" s="1"/>
      <c r="K819" s="1">
        <v>0</v>
      </c>
      <c r="L819" s="1"/>
      <c r="M819" s="1"/>
      <c r="N819" s="1"/>
      <c r="O819" s="1"/>
      <c r="P819" s="1"/>
      <c r="Q819" s="1"/>
      <c r="R819" s="1"/>
      <c r="S819" s="1"/>
      <c r="T819" s="1"/>
      <c r="U819" s="1" t="s">
        <v>3</v>
      </c>
      <c r="V819" s="1">
        <v>0</v>
      </c>
      <c r="W819" s="1"/>
      <c r="X819" s="1"/>
      <c r="Y819" s="1"/>
      <c r="Z819" s="1"/>
      <c r="AA819" s="1"/>
      <c r="AB819" s="1" t="s">
        <v>3</v>
      </c>
      <c r="AC819" s="1" t="s">
        <v>3</v>
      </c>
      <c r="AD819" s="1" t="s">
        <v>3</v>
      </c>
      <c r="AE819" s="1" t="s">
        <v>3</v>
      </c>
      <c r="AF819" s="1" t="s">
        <v>3</v>
      </c>
      <c r="AG819" s="1" t="s">
        <v>3</v>
      </c>
      <c r="AH819" s="1"/>
      <c r="AI819" s="1"/>
      <c r="AJ819" s="1"/>
      <c r="AK819" s="1"/>
      <c r="AL819" s="1"/>
      <c r="AM819" s="1"/>
      <c r="AN819" s="1"/>
      <c r="AO819" s="1"/>
      <c r="AP819" s="1" t="s">
        <v>3</v>
      </c>
      <c r="AQ819" s="1" t="s">
        <v>3</v>
      </c>
      <c r="AR819" s="1" t="s">
        <v>3</v>
      </c>
      <c r="AS819" s="1"/>
      <c r="AT819" s="1"/>
      <c r="AU819" s="1"/>
      <c r="AV819" s="1"/>
      <c r="AW819" s="1"/>
      <c r="AX819" s="1"/>
      <c r="AY819" s="1"/>
      <c r="AZ819" s="1" t="s">
        <v>3</v>
      </c>
      <c r="BA819" s="1"/>
      <c r="BB819" s="1" t="s">
        <v>3</v>
      </c>
      <c r="BC819" s="1" t="s">
        <v>3</v>
      </c>
      <c r="BD819" s="1" t="s">
        <v>3</v>
      </c>
      <c r="BE819" s="1" t="s">
        <v>3</v>
      </c>
      <c r="BF819" s="1" t="s">
        <v>3</v>
      </c>
      <c r="BG819" s="1" t="s">
        <v>3</v>
      </c>
      <c r="BH819" s="1" t="s">
        <v>3</v>
      </c>
      <c r="BI819" s="1" t="s">
        <v>3</v>
      </c>
      <c r="BJ819" s="1" t="s">
        <v>3</v>
      </c>
      <c r="BK819" s="1" t="s">
        <v>3</v>
      </c>
      <c r="BL819" s="1" t="s">
        <v>3</v>
      </c>
      <c r="BM819" s="1" t="s">
        <v>3</v>
      </c>
      <c r="BN819" s="1" t="s">
        <v>3</v>
      </c>
      <c r="BO819" s="1" t="s">
        <v>3</v>
      </c>
      <c r="BP819" s="1" t="s">
        <v>3</v>
      </c>
      <c r="BQ819" s="1"/>
      <c r="BR819" s="1"/>
      <c r="BS819" s="1"/>
      <c r="BT819" s="1"/>
      <c r="BU819" s="1"/>
      <c r="BV819" s="1"/>
      <c r="BW819" s="1"/>
      <c r="BX819" s="1">
        <v>0</v>
      </c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>
        <v>0</v>
      </c>
    </row>
    <row r="821" spans="1:245" x14ac:dyDescent="0.2">
      <c r="A821" s="2">
        <v>52</v>
      </c>
      <c r="B821" s="2">
        <f t="shared" ref="B821:G821" si="379">B828</f>
        <v>1</v>
      </c>
      <c r="C821" s="2">
        <f t="shared" si="379"/>
        <v>5</v>
      </c>
      <c r="D821" s="2">
        <f t="shared" si="379"/>
        <v>819</v>
      </c>
      <c r="E821" s="2">
        <f t="shared" si="379"/>
        <v>0</v>
      </c>
      <c r="F821" s="2" t="str">
        <f t="shared" si="379"/>
        <v>Новый подраздел</v>
      </c>
      <c r="G821" s="2" t="str">
        <f t="shared" si="379"/>
        <v>Спорт площадки</v>
      </c>
      <c r="H821" s="2"/>
      <c r="I821" s="2"/>
      <c r="J821" s="2"/>
      <c r="K821" s="2"/>
      <c r="L821" s="2"/>
      <c r="M821" s="2"/>
      <c r="N821" s="2"/>
      <c r="O821" s="2">
        <f t="shared" ref="O821:AT821" si="380">O828</f>
        <v>413830.6</v>
      </c>
      <c r="P821" s="2">
        <f t="shared" si="380"/>
        <v>385508.43</v>
      </c>
      <c r="Q821" s="2">
        <f t="shared" si="380"/>
        <v>9182.43</v>
      </c>
      <c r="R821" s="2">
        <f t="shared" si="380"/>
        <v>7184.08</v>
      </c>
      <c r="S821" s="2">
        <f t="shared" si="380"/>
        <v>19139.740000000002</v>
      </c>
      <c r="T821" s="2">
        <f t="shared" si="380"/>
        <v>0</v>
      </c>
      <c r="U821" s="2">
        <f t="shared" si="380"/>
        <v>86.6952</v>
      </c>
      <c r="V821" s="2">
        <f t="shared" si="380"/>
        <v>0</v>
      </c>
      <c r="W821" s="2">
        <f t="shared" si="380"/>
        <v>0</v>
      </c>
      <c r="X821" s="2">
        <f t="shared" si="380"/>
        <v>13397.82</v>
      </c>
      <c r="Y821" s="2">
        <f t="shared" si="380"/>
        <v>1913.98</v>
      </c>
      <c r="Z821" s="2">
        <f t="shared" si="380"/>
        <v>0</v>
      </c>
      <c r="AA821" s="2">
        <f t="shared" si="380"/>
        <v>0</v>
      </c>
      <c r="AB821" s="2">
        <f t="shared" si="380"/>
        <v>413830.6</v>
      </c>
      <c r="AC821" s="2">
        <f t="shared" si="380"/>
        <v>385508.43</v>
      </c>
      <c r="AD821" s="2">
        <f t="shared" si="380"/>
        <v>9182.43</v>
      </c>
      <c r="AE821" s="2">
        <f t="shared" si="380"/>
        <v>7184.08</v>
      </c>
      <c r="AF821" s="2">
        <f t="shared" si="380"/>
        <v>19139.740000000002</v>
      </c>
      <c r="AG821" s="2">
        <f t="shared" si="380"/>
        <v>0</v>
      </c>
      <c r="AH821" s="2">
        <f t="shared" si="380"/>
        <v>86.6952</v>
      </c>
      <c r="AI821" s="2">
        <f t="shared" si="380"/>
        <v>0</v>
      </c>
      <c r="AJ821" s="2">
        <f t="shared" si="380"/>
        <v>0</v>
      </c>
      <c r="AK821" s="2">
        <f t="shared" si="380"/>
        <v>13397.82</v>
      </c>
      <c r="AL821" s="2">
        <f t="shared" si="380"/>
        <v>1913.98</v>
      </c>
      <c r="AM821" s="2">
        <f t="shared" si="380"/>
        <v>0</v>
      </c>
      <c r="AN821" s="2">
        <f t="shared" si="380"/>
        <v>0</v>
      </c>
      <c r="AO821" s="2">
        <f t="shared" si="380"/>
        <v>0</v>
      </c>
      <c r="AP821" s="2">
        <f t="shared" si="380"/>
        <v>0</v>
      </c>
      <c r="AQ821" s="2">
        <f t="shared" si="380"/>
        <v>0</v>
      </c>
      <c r="AR821" s="2">
        <f t="shared" si="380"/>
        <v>436901.21</v>
      </c>
      <c r="AS821" s="2">
        <f t="shared" si="380"/>
        <v>0</v>
      </c>
      <c r="AT821" s="2">
        <f t="shared" si="380"/>
        <v>0</v>
      </c>
      <c r="AU821" s="2">
        <f t="shared" ref="AU821:BZ821" si="381">AU828</f>
        <v>436901.21</v>
      </c>
      <c r="AV821" s="2">
        <f t="shared" si="381"/>
        <v>385508.43</v>
      </c>
      <c r="AW821" s="2">
        <f t="shared" si="381"/>
        <v>385508.43</v>
      </c>
      <c r="AX821" s="2">
        <f t="shared" si="381"/>
        <v>0</v>
      </c>
      <c r="AY821" s="2">
        <f t="shared" si="381"/>
        <v>385508.43</v>
      </c>
      <c r="AZ821" s="2">
        <f t="shared" si="381"/>
        <v>0</v>
      </c>
      <c r="BA821" s="2">
        <f t="shared" si="381"/>
        <v>0</v>
      </c>
      <c r="BB821" s="2">
        <f t="shared" si="381"/>
        <v>0</v>
      </c>
      <c r="BC821" s="2">
        <f t="shared" si="381"/>
        <v>0</v>
      </c>
      <c r="BD821" s="2">
        <f t="shared" si="381"/>
        <v>0</v>
      </c>
      <c r="BE821" s="2">
        <f t="shared" si="381"/>
        <v>0</v>
      </c>
      <c r="BF821" s="2">
        <f t="shared" si="381"/>
        <v>0</v>
      </c>
      <c r="BG821" s="2">
        <f t="shared" si="381"/>
        <v>0</v>
      </c>
      <c r="BH821" s="2">
        <f t="shared" si="381"/>
        <v>0</v>
      </c>
      <c r="BI821" s="2">
        <f t="shared" si="381"/>
        <v>0</v>
      </c>
      <c r="BJ821" s="2">
        <f t="shared" si="381"/>
        <v>0</v>
      </c>
      <c r="BK821" s="2">
        <f t="shared" si="381"/>
        <v>0</v>
      </c>
      <c r="BL821" s="2">
        <f t="shared" si="381"/>
        <v>0</v>
      </c>
      <c r="BM821" s="2">
        <f t="shared" si="381"/>
        <v>0</v>
      </c>
      <c r="BN821" s="2">
        <f t="shared" si="381"/>
        <v>0</v>
      </c>
      <c r="BO821" s="2">
        <f t="shared" si="381"/>
        <v>0</v>
      </c>
      <c r="BP821" s="2">
        <f t="shared" si="381"/>
        <v>0</v>
      </c>
      <c r="BQ821" s="2">
        <f t="shared" si="381"/>
        <v>0</v>
      </c>
      <c r="BR821" s="2">
        <f t="shared" si="381"/>
        <v>0</v>
      </c>
      <c r="BS821" s="2">
        <f t="shared" si="381"/>
        <v>0</v>
      </c>
      <c r="BT821" s="2">
        <f t="shared" si="381"/>
        <v>0</v>
      </c>
      <c r="BU821" s="2">
        <f t="shared" si="381"/>
        <v>0</v>
      </c>
      <c r="BV821" s="2">
        <f t="shared" si="381"/>
        <v>0</v>
      </c>
      <c r="BW821" s="2">
        <f t="shared" si="381"/>
        <v>0</v>
      </c>
      <c r="BX821" s="2">
        <f t="shared" si="381"/>
        <v>0</v>
      </c>
      <c r="BY821" s="2">
        <f t="shared" si="381"/>
        <v>0</v>
      </c>
      <c r="BZ821" s="2">
        <f t="shared" si="381"/>
        <v>0</v>
      </c>
      <c r="CA821" s="2">
        <f t="shared" ref="CA821:DF821" si="382">CA828</f>
        <v>436901.21</v>
      </c>
      <c r="CB821" s="2">
        <f t="shared" si="382"/>
        <v>0</v>
      </c>
      <c r="CC821" s="2">
        <f t="shared" si="382"/>
        <v>0</v>
      </c>
      <c r="CD821" s="2">
        <f t="shared" si="382"/>
        <v>436901.21</v>
      </c>
      <c r="CE821" s="2">
        <f t="shared" si="382"/>
        <v>385508.43</v>
      </c>
      <c r="CF821" s="2">
        <f t="shared" si="382"/>
        <v>385508.43</v>
      </c>
      <c r="CG821" s="2">
        <f t="shared" si="382"/>
        <v>0</v>
      </c>
      <c r="CH821" s="2">
        <f t="shared" si="382"/>
        <v>385508.43</v>
      </c>
      <c r="CI821" s="2">
        <f t="shared" si="382"/>
        <v>0</v>
      </c>
      <c r="CJ821" s="2">
        <f t="shared" si="382"/>
        <v>0</v>
      </c>
      <c r="CK821" s="2">
        <f t="shared" si="382"/>
        <v>0</v>
      </c>
      <c r="CL821" s="2">
        <f t="shared" si="382"/>
        <v>0</v>
      </c>
      <c r="CM821" s="2">
        <f t="shared" si="382"/>
        <v>0</v>
      </c>
      <c r="CN821" s="2">
        <f t="shared" si="382"/>
        <v>0</v>
      </c>
      <c r="CO821" s="2">
        <f t="shared" si="382"/>
        <v>0</v>
      </c>
      <c r="CP821" s="2">
        <f t="shared" si="382"/>
        <v>0</v>
      </c>
      <c r="CQ821" s="2">
        <f t="shared" si="382"/>
        <v>0</v>
      </c>
      <c r="CR821" s="2">
        <f t="shared" si="382"/>
        <v>0</v>
      </c>
      <c r="CS821" s="2">
        <f t="shared" si="382"/>
        <v>0</v>
      </c>
      <c r="CT821" s="2">
        <f t="shared" si="382"/>
        <v>0</v>
      </c>
      <c r="CU821" s="2">
        <f t="shared" si="382"/>
        <v>0</v>
      </c>
      <c r="CV821" s="2">
        <f t="shared" si="382"/>
        <v>0</v>
      </c>
      <c r="CW821" s="2">
        <f t="shared" si="382"/>
        <v>0</v>
      </c>
      <c r="CX821" s="2">
        <f t="shared" si="382"/>
        <v>0</v>
      </c>
      <c r="CY821" s="2">
        <f t="shared" si="382"/>
        <v>0</v>
      </c>
      <c r="CZ821" s="2">
        <f t="shared" si="382"/>
        <v>0</v>
      </c>
      <c r="DA821" s="2">
        <f t="shared" si="382"/>
        <v>0</v>
      </c>
      <c r="DB821" s="2">
        <f t="shared" si="382"/>
        <v>0</v>
      </c>
      <c r="DC821" s="2">
        <f t="shared" si="382"/>
        <v>0</v>
      </c>
      <c r="DD821" s="2">
        <f t="shared" si="382"/>
        <v>0</v>
      </c>
      <c r="DE821" s="2">
        <f t="shared" si="382"/>
        <v>0</v>
      </c>
      <c r="DF821" s="2">
        <f t="shared" si="382"/>
        <v>0</v>
      </c>
      <c r="DG821" s="3">
        <f t="shared" ref="DG821:EL821" si="383">DG828</f>
        <v>0</v>
      </c>
      <c r="DH821" s="3">
        <f t="shared" si="383"/>
        <v>0</v>
      </c>
      <c r="DI821" s="3">
        <f t="shared" si="383"/>
        <v>0</v>
      </c>
      <c r="DJ821" s="3">
        <f t="shared" si="383"/>
        <v>0</v>
      </c>
      <c r="DK821" s="3">
        <f t="shared" si="383"/>
        <v>0</v>
      </c>
      <c r="DL821" s="3">
        <f t="shared" si="383"/>
        <v>0</v>
      </c>
      <c r="DM821" s="3">
        <f t="shared" si="383"/>
        <v>0</v>
      </c>
      <c r="DN821" s="3">
        <f t="shared" si="383"/>
        <v>0</v>
      </c>
      <c r="DO821" s="3">
        <f t="shared" si="383"/>
        <v>0</v>
      </c>
      <c r="DP821" s="3">
        <f t="shared" si="383"/>
        <v>0</v>
      </c>
      <c r="DQ821" s="3">
        <f t="shared" si="383"/>
        <v>0</v>
      </c>
      <c r="DR821" s="3">
        <f t="shared" si="383"/>
        <v>0</v>
      </c>
      <c r="DS821" s="3">
        <f t="shared" si="383"/>
        <v>0</v>
      </c>
      <c r="DT821" s="3">
        <f t="shared" si="383"/>
        <v>0</v>
      </c>
      <c r="DU821" s="3">
        <f t="shared" si="383"/>
        <v>0</v>
      </c>
      <c r="DV821" s="3">
        <f t="shared" si="383"/>
        <v>0</v>
      </c>
      <c r="DW821" s="3">
        <f t="shared" si="383"/>
        <v>0</v>
      </c>
      <c r="DX821" s="3">
        <f t="shared" si="383"/>
        <v>0</v>
      </c>
      <c r="DY821" s="3">
        <f t="shared" si="383"/>
        <v>0</v>
      </c>
      <c r="DZ821" s="3">
        <f t="shared" si="383"/>
        <v>0</v>
      </c>
      <c r="EA821" s="3">
        <f t="shared" si="383"/>
        <v>0</v>
      </c>
      <c r="EB821" s="3">
        <f t="shared" si="383"/>
        <v>0</v>
      </c>
      <c r="EC821" s="3">
        <f t="shared" si="383"/>
        <v>0</v>
      </c>
      <c r="ED821" s="3">
        <f t="shared" si="383"/>
        <v>0</v>
      </c>
      <c r="EE821" s="3">
        <f t="shared" si="383"/>
        <v>0</v>
      </c>
      <c r="EF821" s="3">
        <f t="shared" si="383"/>
        <v>0</v>
      </c>
      <c r="EG821" s="3">
        <f t="shared" si="383"/>
        <v>0</v>
      </c>
      <c r="EH821" s="3">
        <f t="shared" si="383"/>
        <v>0</v>
      </c>
      <c r="EI821" s="3">
        <f t="shared" si="383"/>
        <v>0</v>
      </c>
      <c r="EJ821" s="3">
        <f t="shared" si="383"/>
        <v>0</v>
      </c>
      <c r="EK821" s="3">
        <f t="shared" si="383"/>
        <v>0</v>
      </c>
      <c r="EL821" s="3">
        <f t="shared" si="383"/>
        <v>0</v>
      </c>
      <c r="EM821" s="3">
        <f t="shared" ref="EM821:FR821" si="384">EM828</f>
        <v>0</v>
      </c>
      <c r="EN821" s="3">
        <f t="shared" si="384"/>
        <v>0</v>
      </c>
      <c r="EO821" s="3">
        <f t="shared" si="384"/>
        <v>0</v>
      </c>
      <c r="EP821" s="3">
        <f t="shared" si="384"/>
        <v>0</v>
      </c>
      <c r="EQ821" s="3">
        <f t="shared" si="384"/>
        <v>0</v>
      </c>
      <c r="ER821" s="3">
        <f t="shared" si="384"/>
        <v>0</v>
      </c>
      <c r="ES821" s="3">
        <f t="shared" si="384"/>
        <v>0</v>
      </c>
      <c r="ET821" s="3">
        <f t="shared" si="384"/>
        <v>0</v>
      </c>
      <c r="EU821" s="3">
        <f t="shared" si="384"/>
        <v>0</v>
      </c>
      <c r="EV821" s="3">
        <f t="shared" si="384"/>
        <v>0</v>
      </c>
      <c r="EW821" s="3">
        <f t="shared" si="384"/>
        <v>0</v>
      </c>
      <c r="EX821" s="3">
        <f t="shared" si="384"/>
        <v>0</v>
      </c>
      <c r="EY821" s="3">
        <f t="shared" si="384"/>
        <v>0</v>
      </c>
      <c r="EZ821" s="3">
        <f t="shared" si="384"/>
        <v>0</v>
      </c>
      <c r="FA821" s="3">
        <f t="shared" si="384"/>
        <v>0</v>
      </c>
      <c r="FB821" s="3">
        <f t="shared" si="384"/>
        <v>0</v>
      </c>
      <c r="FC821" s="3">
        <f t="shared" si="384"/>
        <v>0</v>
      </c>
      <c r="FD821" s="3">
        <f t="shared" si="384"/>
        <v>0</v>
      </c>
      <c r="FE821" s="3">
        <f t="shared" si="384"/>
        <v>0</v>
      </c>
      <c r="FF821" s="3">
        <f t="shared" si="384"/>
        <v>0</v>
      </c>
      <c r="FG821" s="3">
        <f t="shared" si="384"/>
        <v>0</v>
      </c>
      <c r="FH821" s="3">
        <f t="shared" si="384"/>
        <v>0</v>
      </c>
      <c r="FI821" s="3">
        <f t="shared" si="384"/>
        <v>0</v>
      </c>
      <c r="FJ821" s="3">
        <f t="shared" si="384"/>
        <v>0</v>
      </c>
      <c r="FK821" s="3">
        <f t="shared" si="384"/>
        <v>0</v>
      </c>
      <c r="FL821" s="3">
        <f t="shared" si="384"/>
        <v>0</v>
      </c>
      <c r="FM821" s="3">
        <f t="shared" si="384"/>
        <v>0</v>
      </c>
      <c r="FN821" s="3">
        <f t="shared" si="384"/>
        <v>0</v>
      </c>
      <c r="FO821" s="3">
        <f t="shared" si="384"/>
        <v>0</v>
      </c>
      <c r="FP821" s="3">
        <f t="shared" si="384"/>
        <v>0</v>
      </c>
      <c r="FQ821" s="3">
        <f t="shared" si="384"/>
        <v>0</v>
      </c>
      <c r="FR821" s="3">
        <f t="shared" si="384"/>
        <v>0</v>
      </c>
      <c r="FS821" s="3">
        <f t="shared" ref="FS821:GX821" si="385">FS828</f>
        <v>0</v>
      </c>
      <c r="FT821" s="3">
        <f t="shared" si="385"/>
        <v>0</v>
      </c>
      <c r="FU821" s="3">
        <f t="shared" si="385"/>
        <v>0</v>
      </c>
      <c r="FV821" s="3">
        <f t="shared" si="385"/>
        <v>0</v>
      </c>
      <c r="FW821" s="3">
        <f t="shared" si="385"/>
        <v>0</v>
      </c>
      <c r="FX821" s="3">
        <f t="shared" si="385"/>
        <v>0</v>
      </c>
      <c r="FY821" s="3">
        <f t="shared" si="385"/>
        <v>0</v>
      </c>
      <c r="FZ821" s="3">
        <f t="shared" si="385"/>
        <v>0</v>
      </c>
      <c r="GA821" s="3">
        <f t="shared" si="385"/>
        <v>0</v>
      </c>
      <c r="GB821" s="3">
        <f t="shared" si="385"/>
        <v>0</v>
      </c>
      <c r="GC821" s="3">
        <f t="shared" si="385"/>
        <v>0</v>
      </c>
      <c r="GD821" s="3">
        <f t="shared" si="385"/>
        <v>0</v>
      </c>
      <c r="GE821" s="3">
        <f t="shared" si="385"/>
        <v>0</v>
      </c>
      <c r="GF821" s="3">
        <f t="shared" si="385"/>
        <v>0</v>
      </c>
      <c r="GG821" s="3">
        <f t="shared" si="385"/>
        <v>0</v>
      </c>
      <c r="GH821" s="3">
        <f t="shared" si="385"/>
        <v>0</v>
      </c>
      <c r="GI821" s="3">
        <f t="shared" si="385"/>
        <v>0</v>
      </c>
      <c r="GJ821" s="3">
        <f t="shared" si="385"/>
        <v>0</v>
      </c>
      <c r="GK821" s="3">
        <f t="shared" si="385"/>
        <v>0</v>
      </c>
      <c r="GL821" s="3">
        <f t="shared" si="385"/>
        <v>0</v>
      </c>
      <c r="GM821" s="3">
        <f t="shared" si="385"/>
        <v>0</v>
      </c>
      <c r="GN821" s="3">
        <f t="shared" si="385"/>
        <v>0</v>
      </c>
      <c r="GO821" s="3">
        <f t="shared" si="385"/>
        <v>0</v>
      </c>
      <c r="GP821" s="3">
        <f t="shared" si="385"/>
        <v>0</v>
      </c>
      <c r="GQ821" s="3">
        <f t="shared" si="385"/>
        <v>0</v>
      </c>
      <c r="GR821" s="3">
        <f t="shared" si="385"/>
        <v>0</v>
      </c>
      <c r="GS821" s="3">
        <f t="shared" si="385"/>
        <v>0</v>
      </c>
      <c r="GT821" s="3">
        <f t="shared" si="385"/>
        <v>0</v>
      </c>
      <c r="GU821" s="3">
        <f t="shared" si="385"/>
        <v>0</v>
      </c>
      <c r="GV821" s="3">
        <f t="shared" si="385"/>
        <v>0</v>
      </c>
      <c r="GW821" s="3">
        <f t="shared" si="385"/>
        <v>0</v>
      </c>
      <c r="GX821" s="3">
        <f t="shared" si="385"/>
        <v>0</v>
      </c>
    </row>
    <row r="823" spans="1:245" x14ac:dyDescent="0.2">
      <c r="A823">
        <v>17</v>
      </c>
      <c r="B823">
        <v>1</v>
      </c>
      <c r="C823">
        <f>ROW(SmtRes!A371)</f>
        <v>371</v>
      </c>
      <c r="D823">
        <f>ROW(EtalonRes!A339)</f>
        <v>339</v>
      </c>
      <c r="E823" t="s">
        <v>353</v>
      </c>
      <c r="F823" t="s">
        <v>354</v>
      </c>
      <c r="G823" t="s">
        <v>355</v>
      </c>
      <c r="H823" t="s">
        <v>19</v>
      </c>
      <c r="I823">
        <f>ROUND(348/100,9)</f>
        <v>3.48</v>
      </c>
      <c r="J823">
        <v>0</v>
      </c>
      <c r="O823">
        <f>ROUND(CP823,2)</f>
        <v>2112.15</v>
      </c>
      <c r="P823">
        <f>ROUND(CQ823*I823,2)</f>
        <v>0</v>
      </c>
      <c r="Q823">
        <f>ROUND(CR823*I823,2)</f>
        <v>0</v>
      </c>
      <c r="R823">
        <f>ROUND(CS823*I823,2)</f>
        <v>0</v>
      </c>
      <c r="S823">
        <f>ROUND(CT823*I823,2)</f>
        <v>2112.15</v>
      </c>
      <c r="T823">
        <f>ROUND(CU823*I823,2)</f>
        <v>0</v>
      </c>
      <c r="U823">
        <f>CV823*I823</f>
        <v>11.484</v>
      </c>
      <c r="V823">
        <f>CW823*I823</f>
        <v>0</v>
      </c>
      <c r="W823">
        <f>ROUND(CX823*I823,2)</f>
        <v>0</v>
      </c>
      <c r="X823">
        <f t="shared" ref="X823:Y826" si="386">ROUND(CY823,2)</f>
        <v>1478.51</v>
      </c>
      <c r="Y823">
        <f t="shared" si="386"/>
        <v>211.22</v>
      </c>
      <c r="AA823">
        <v>38799519</v>
      </c>
      <c r="AB823">
        <f>ROUND((AC823+AD823+AF823),6)</f>
        <v>606.94000000000005</v>
      </c>
      <c r="AC823">
        <f>ROUND((ES823),6)</f>
        <v>0</v>
      </c>
      <c r="AD823">
        <f>ROUND((((ET823)-(EU823))+AE823),6)</f>
        <v>0</v>
      </c>
      <c r="AE823">
        <f t="shared" ref="AE823:AF826" si="387">ROUND((EU823),6)</f>
        <v>0</v>
      </c>
      <c r="AF823">
        <f t="shared" si="387"/>
        <v>606.94000000000005</v>
      </c>
      <c r="AG823">
        <f>ROUND((AP823),6)</f>
        <v>0</v>
      </c>
      <c r="AH823">
        <f t="shared" ref="AH823:AI826" si="388">(EW823)</f>
        <v>3.3</v>
      </c>
      <c r="AI823">
        <f t="shared" si="388"/>
        <v>0</v>
      </c>
      <c r="AJ823">
        <f>(AS823)</f>
        <v>0</v>
      </c>
      <c r="AK823">
        <v>606.94000000000005</v>
      </c>
      <c r="AL823">
        <v>0</v>
      </c>
      <c r="AM823">
        <v>0</v>
      </c>
      <c r="AN823">
        <v>0</v>
      </c>
      <c r="AO823">
        <v>606.94000000000005</v>
      </c>
      <c r="AP823">
        <v>0</v>
      </c>
      <c r="AQ823">
        <v>3.3</v>
      </c>
      <c r="AR823">
        <v>0</v>
      </c>
      <c r="AS823">
        <v>0</v>
      </c>
      <c r="AT823">
        <v>70</v>
      </c>
      <c r="AU823">
        <v>10</v>
      </c>
      <c r="AV823">
        <v>1</v>
      </c>
      <c r="AW823">
        <v>1</v>
      </c>
      <c r="AZ823">
        <v>1</v>
      </c>
      <c r="BA823">
        <v>1</v>
      </c>
      <c r="BB823">
        <v>1</v>
      </c>
      <c r="BC823">
        <v>1</v>
      </c>
      <c r="BD823" t="s">
        <v>3</v>
      </c>
      <c r="BE823" t="s">
        <v>3</v>
      </c>
      <c r="BF823" t="s">
        <v>3</v>
      </c>
      <c r="BG823" t="s">
        <v>3</v>
      </c>
      <c r="BH823">
        <v>0</v>
      </c>
      <c r="BI823">
        <v>4</v>
      </c>
      <c r="BJ823" t="s">
        <v>356</v>
      </c>
      <c r="BM823">
        <v>0</v>
      </c>
      <c r="BN823">
        <v>0</v>
      </c>
      <c r="BO823" t="s">
        <v>3</v>
      </c>
      <c r="BP823">
        <v>0</v>
      </c>
      <c r="BQ823">
        <v>1</v>
      </c>
      <c r="BR823">
        <v>0</v>
      </c>
      <c r="BS823">
        <v>1</v>
      </c>
      <c r="BT823">
        <v>1</v>
      </c>
      <c r="BU823">
        <v>1</v>
      </c>
      <c r="BV823">
        <v>1</v>
      </c>
      <c r="BW823">
        <v>1</v>
      </c>
      <c r="BX823">
        <v>1</v>
      </c>
      <c r="BY823" t="s">
        <v>3</v>
      </c>
      <c r="BZ823">
        <v>70</v>
      </c>
      <c r="CA823">
        <v>10</v>
      </c>
      <c r="CE823">
        <v>0</v>
      </c>
      <c r="CF823">
        <v>0</v>
      </c>
      <c r="CG823">
        <v>0</v>
      </c>
      <c r="CM823">
        <v>0</v>
      </c>
      <c r="CN823" t="s">
        <v>3</v>
      </c>
      <c r="CO823">
        <v>0</v>
      </c>
      <c r="CP823">
        <f>(P823+Q823+S823)</f>
        <v>2112.15</v>
      </c>
      <c r="CQ823">
        <f>(AC823*BC823*AW823)</f>
        <v>0</v>
      </c>
      <c r="CR823">
        <f>((((ET823)*BB823-(EU823)*BS823)+AE823*BS823)*AV823)</f>
        <v>0</v>
      </c>
      <c r="CS823">
        <f>(AE823*BS823*AV823)</f>
        <v>0</v>
      </c>
      <c r="CT823">
        <f>(AF823*BA823*AV823)</f>
        <v>606.94000000000005</v>
      </c>
      <c r="CU823">
        <f>AG823</f>
        <v>0</v>
      </c>
      <c r="CV823">
        <f>(AH823*AV823)</f>
        <v>3.3</v>
      </c>
      <c r="CW823">
        <f t="shared" ref="CW823:CX826" si="389">AI823</f>
        <v>0</v>
      </c>
      <c r="CX823">
        <f t="shared" si="389"/>
        <v>0</v>
      </c>
      <c r="CY823">
        <f>((S823*BZ823)/100)</f>
        <v>1478.5050000000001</v>
      </c>
      <c r="CZ823">
        <f>((S823*CA823)/100)</f>
        <v>211.215</v>
      </c>
      <c r="DC823" t="s">
        <v>3</v>
      </c>
      <c r="DD823" t="s">
        <v>3</v>
      </c>
      <c r="DE823" t="s">
        <v>3</v>
      </c>
      <c r="DF823" t="s">
        <v>3</v>
      </c>
      <c r="DG823" t="s">
        <v>3</v>
      </c>
      <c r="DH823" t="s">
        <v>3</v>
      </c>
      <c r="DI823" t="s">
        <v>3</v>
      </c>
      <c r="DJ823" t="s">
        <v>3</v>
      </c>
      <c r="DK823" t="s">
        <v>3</v>
      </c>
      <c r="DL823" t="s">
        <v>3</v>
      </c>
      <c r="DM823" t="s">
        <v>3</v>
      </c>
      <c r="DN823">
        <v>0</v>
      </c>
      <c r="DO823">
        <v>0</v>
      </c>
      <c r="DP823">
        <v>1</v>
      </c>
      <c r="DQ823">
        <v>1</v>
      </c>
      <c r="DU823">
        <v>1005</v>
      </c>
      <c r="DV823" t="s">
        <v>19</v>
      </c>
      <c r="DW823" t="s">
        <v>19</v>
      </c>
      <c r="DX823">
        <v>100</v>
      </c>
      <c r="EE823">
        <v>38447819</v>
      </c>
      <c r="EF823">
        <v>1</v>
      </c>
      <c r="EG823" t="s">
        <v>23</v>
      </c>
      <c r="EH823">
        <v>0</v>
      </c>
      <c r="EI823" t="s">
        <v>3</v>
      </c>
      <c r="EJ823">
        <v>4</v>
      </c>
      <c r="EK823">
        <v>0</v>
      </c>
      <c r="EL823" t="s">
        <v>24</v>
      </c>
      <c r="EM823" t="s">
        <v>25</v>
      </c>
      <c r="EO823" t="s">
        <v>3</v>
      </c>
      <c r="EQ823">
        <v>0</v>
      </c>
      <c r="ER823">
        <v>606.94000000000005</v>
      </c>
      <c r="ES823">
        <v>0</v>
      </c>
      <c r="ET823">
        <v>0</v>
      </c>
      <c r="EU823">
        <v>0</v>
      </c>
      <c r="EV823">
        <v>606.94000000000005</v>
      </c>
      <c r="EW823">
        <v>3.3</v>
      </c>
      <c r="EX823">
        <v>0</v>
      </c>
      <c r="EY823">
        <v>0</v>
      </c>
      <c r="FQ823">
        <v>0</v>
      </c>
      <c r="FR823">
        <f>ROUND(IF(AND(BH823=3,BI823=3),P823,0),2)</f>
        <v>0</v>
      </c>
      <c r="FS823">
        <v>0</v>
      </c>
      <c r="FX823">
        <v>70</v>
      </c>
      <c r="FY823">
        <v>10</v>
      </c>
      <c r="GA823" t="s">
        <v>3</v>
      </c>
      <c r="GD823">
        <v>0</v>
      </c>
      <c r="GF823">
        <v>-2024549073</v>
      </c>
      <c r="GG823">
        <v>2</v>
      </c>
      <c r="GH823">
        <v>1</v>
      </c>
      <c r="GI823">
        <v>-2</v>
      </c>
      <c r="GJ823">
        <v>0</v>
      </c>
      <c r="GK823">
        <f>ROUND(R823*(R12)/100,2)</f>
        <v>0</v>
      </c>
      <c r="GL823">
        <f>ROUND(IF(AND(BH823=3,BI823=3,FS823&lt;&gt;0),P823,0),2)</f>
        <v>0</v>
      </c>
      <c r="GM823">
        <f>ROUND(O823+X823+Y823+GK823,2)+GX823</f>
        <v>3801.88</v>
      </c>
      <c r="GN823">
        <f>IF(OR(BI823=0,BI823=1),ROUND(O823+X823+Y823+GK823,2),0)</f>
        <v>0</v>
      </c>
      <c r="GO823">
        <f>IF(BI823=2,ROUND(O823+X823+Y823+GK823,2),0)</f>
        <v>0</v>
      </c>
      <c r="GP823">
        <f>IF(BI823=4,ROUND(O823+X823+Y823+GK823,2)+GX823,0)</f>
        <v>3801.88</v>
      </c>
      <c r="GR823">
        <v>0</v>
      </c>
      <c r="GS823">
        <v>3</v>
      </c>
      <c r="GT823">
        <v>0</v>
      </c>
      <c r="GU823" t="s">
        <v>3</v>
      </c>
      <c r="GV823">
        <f>ROUND((GT823),6)</f>
        <v>0</v>
      </c>
      <c r="GW823">
        <v>1</v>
      </c>
      <c r="GX823">
        <f>ROUND(HC823*I823,2)</f>
        <v>0</v>
      </c>
      <c r="HA823">
        <v>0</v>
      </c>
      <c r="HB823">
        <v>0</v>
      </c>
      <c r="HC823">
        <f>GV823*GW823</f>
        <v>0</v>
      </c>
      <c r="HE823" t="s">
        <v>3</v>
      </c>
      <c r="HF823" t="s">
        <v>3</v>
      </c>
      <c r="IK823">
        <v>0</v>
      </c>
    </row>
    <row r="824" spans="1:245" x14ac:dyDescent="0.2">
      <c r="A824">
        <v>17</v>
      </c>
      <c r="B824">
        <v>1</v>
      </c>
      <c r="C824">
        <f>ROW(SmtRes!A381)</f>
        <v>381</v>
      </c>
      <c r="D824">
        <f>ROW(EtalonRes!A349)</f>
        <v>349</v>
      </c>
      <c r="E824" t="s">
        <v>357</v>
      </c>
      <c r="F824" t="s">
        <v>140</v>
      </c>
      <c r="G824" t="s">
        <v>141</v>
      </c>
      <c r="H824" t="s">
        <v>19</v>
      </c>
      <c r="I824">
        <f>ROUND(348/100,9)</f>
        <v>3.48</v>
      </c>
      <c r="J824">
        <v>0</v>
      </c>
      <c r="O824">
        <f>ROUND(CP824,2)</f>
        <v>379506.18</v>
      </c>
      <c r="P824">
        <f>ROUND(CQ824*I824,2)</f>
        <v>356211.48</v>
      </c>
      <c r="Q824">
        <f>ROUND(CR824*I824,2)</f>
        <v>9108.0300000000007</v>
      </c>
      <c r="R824">
        <f>ROUND(CS824*I824,2)</f>
        <v>7180.84</v>
      </c>
      <c r="S824">
        <f>ROUND(CT824*I824,2)</f>
        <v>14186.67</v>
      </c>
      <c r="T824">
        <f>ROUND(CU824*I824,2)</f>
        <v>0</v>
      </c>
      <c r="U824">
        <f>CV824*I824</f>
        <v>64.171199999999999</v>
      </c>
      <c r="V824">
        <f>CW824*I824</f>
        <v>0</v>
      </c>
      <c r="W824">
        <f>ROUND(CX824*I824,2)</f>
        <v>0</v>
      </c>
      <c r="X824">
        <f t="shared" si="386"/>
        <v>9930.67</v>
      </c>
      <c r="Y824">
        <f t="shared" si="386"/>
        <v>1418.67</v>
      </c>
      <c r="AA824">
        <v>38799519</v>
      </c>
      <c r="AB824">
        <f>ROUND((AC824+AD824+AF824),6)</f>
        <v>109053.5</v>
      </c>
      <c r="AC824">
        <f>ROUND((ES824),6)</f>
        <v>102359.62</v>
      </c>
      <c r="AD824">
        <f>ROUND((((ET824)-(EU824))+AE824),6)</f>
        <v>2617.25</v>
      </c>
      <c r="AE824">
        <f t="shared" si="387"/>
        <v>2063.46</v>
      </c>
      <c r="AF824">
        <f t="shared" si="387"/>
        <v>4076.63</v>
      </c>
      <c r="AG824">
        <f>ROUND((AP824),6)</f>
        <v>0</v>
      </c>
      <c r="AH824">
        <f t="shared" si="388"/>
        <v>18.440000000000001</v>
      </c>
      <c r="AI824">
        <f t="shared" si="388"/>
        <v>0</v>
      </c>
      <c r="AJ824">
        <f>(AS824)</f>
        <v>0</v>
      </c>
      <c r="AK824">
        <v>109053.5</v>
      </c>
      <c r="AL824">
        <v>102359.62</v>
      </c>
      <c r="AM824">
        <v>2617.25</v>
      </c>
      <c r="AN824">
        <v>2063.46</v>
      </c>
      <c r="AO824">
        <v>4076.63</v>
      </c>
      <c r="AP824">
        <v>0</v>
      </c>
      <c r="AQ824">
        <v>18.440000000000001</v>
      </c>
      <c r="AR824">
        <v>0</v>
      </c>
      <c r="AS824">
        <v>0</v>
      </c>
      <c r="AT824">
        <v>70</v>
      </c>
      <c r="AU824">
        <v>10</v>
      </c>
      <c r="AV824">
        <v>1</v>
      </c>
      <c r="AW824">
        <v>1</v>
      </c>
      <c r="AZ824">
        <v>1</v>
      </c>
      <c r="BA824">
        <v>1</v>
      </c>
      <c r="BB824">
        <v>1</v>
      </c>
      <c r="BC824">
        <v>1</v>
      </c>
      <c r="BD824" t="s">
        <v>3</v>
      </c>
      <c r="BE824" t="s">
        <v>3</v>
      </c>
      <c r="BF824" t="s">
        <v>3</v>
      </c>
      <c r="BG824" t="s">
        <v>3</v>
      </c>
      <c r="BH824">
        <v>0</v>
      </c>
      <c r="BI824">
        <v>4</v>
      </c>
      <c r="BJ824" t="s">
        <v>142</v>
      </c>
      <c r="BM824">
        <v>0</v>
      </c>
      <c r="BN824">
        <v>0</v>
      </c>
      <c r="BO824" t="s">
        <v>3</v>
      </c>
      <c r="BP824">
        <v>0</v>
      </c>
      <c r="BQ824">
        <v>1</v>
      </c>
      <c r="BR824">
        <v>0</v>
      </c>
      <c r="BS824">
        <v>1</v>
      </c>
      <c r="BT824">
        <v>1</v>
      </c>
      <c r="BU824">
        <v>1</v>
      </c>
      <c r="BV824">
        <v>1</v>
      </c>
      <c r="BW824">
        <v>1</v>
      </c>
      <c r="BX824">
        <v>1</v>
      </c>
      <c r="BY824" t="s">
        <v>3</v>
      </c>
      <c r="BZ824">
        <v>70</v>
      </c>
      <c r="CA824">
        <v>10</v>
      </c>
      <c r="CE824">
        <v>0</v>
      </c>
      <c r="CF824">
        <v>0</v>
      </c>
      <c r="CG824">
        <v>0</v>
      </c>
      <c r="CM824">
        <v>0</v>
      </c>
      <c r="CN824" t="s">
        <v>3</v>
      </c>
      <c r="CO824">
        <v>0</v>
      </c>
      <c r="CP824">
        <f>(P824+Q824+S824)</f>
        <v>379506.18</v>
      </c>
      <c r="CQ824">
        <f>(AC824*BC824*AW824)</f>
        <v>102359.62</v>
      </c>
      <c r="CR824">
        <f>((((ET824)*BB824-(EU824)*BS824)+AE824*BS824)*AV824)</f>
        <v>2617.25</v>
      </c>
      <c r="CS824">
        <f>(AE824*BS824*AV824)</f>
        <v>2063.46</v>
      </c>
      <c r="CT824">
        <f>(AF824*BA824*AV824)</f>
        <v>4076.63</v>
      </c>
      <c r="CU824">
        <f>AG824</f>
        <v>0</v>
      </c>
      <c r="CV824">
        <f>(AH824*AV824)</f>
        <v>18.440000000000001</v>
      </c>
      <c r="CW824">
        <f t="shared" si="389"/>
        <v>0</v>
      </c>
      <c r="CX824">
        <f t="shared" si="389"/>
        <v>0</v>
      </c>
      <c r="CY824">
        <f>((S824*BZ824)/100)</f>
        <v>9930.6689999999999</v>
      </c>
      <c r="CZ824">
        <f>((S824*CA824)/100)</f>
        <v>1418.6670000000001</v>
      </c>
      <c r="DC824" t="s">
        <v>3</v>
      </c>
      <c r="DD824" t="s">
        <v>3</v>
      </c>
      <c r="DE824" t="s">
        <v>3</v>
      </c>
      <c r="DF824" t="s">
        <v>3</v>
      </c>
      <c r="DG824" t="s">
        <v>3</v>
      </c>
      <c r="DH824" t="s">
        <v>3</v>
      </c>
      <c r="DI824" t="s">
        <v>3</v>
      </c>
      <c r="DJ824" t="s">
        <v>3</v>
      </c>
      <c r="DK824" t="s">
        <v>3</v>
      </c>
      <c r="DL824" t="s">
        <v>3</v>
      </c>
      <c r="DM824" t="s">
        <v>3</v>
      </c>
      <c r="DN824">
        <v>0</v>
      </c>
      <c r="DO824">
        <v>0</v>
      </c>
      <c r="DP824">
        <v>1</v>
      </c>
      <c r="DQ824">
        <v>1</v>
      </c>
      <c r="DU824">
        <v>1005</v>
      </c>
      <c r="DV824" t="s">
        <v>19</v>
      </c>
      <c r="DW824" t="s">
        <v>19</v>
      </c>
      <c r="DX824">
        <v>100</v>
      </c>
      <c r="EE824">
        <v>38447819</v>
      </c>
      <c r="EF824">
        <v>1</v>
      </c>
      <c r="EG824" t="s">
        <v>23</v>
      </c>
      <c r="EH824">
        <v>0</v>
      </c>
      <c r="EI824" t="s">
        <v>3</v>
      </c>
      <c r="EJ824">
        <v>4</v>
      </c>
      <c r="EK824">
        <v>0</v>
      </c>
      <c r="EL824" t="s">
        <v>24</v>
      </c>
      <c r="EM824" t="s">
        <v>25</v>
      </c>
      <c r="EO824" t="s">
        <v>3</v>
      </c>
      <c r="EQ824">
        <v>0</v>
      </c>
      <c r="ER824">
        <v>109053.5</v>
      </c>
      <c r="ES824">
        <v>102359.62</v>
      </c>
      <c r="ET824">
        <v>2617.25</v>
      </c>
      <c r="EU824">
        <v>2063.46</v>
      </c>
      <c r="EV824">
        <v>4076.63</v>
      </c>
      <c r="EW824">
        <v>18.440000000000001</v>
      </c>
      <c r="EX824">
        <v>0</v>
      </c>
      <c r="EY824">
        <v>0</v>
      </c>
      <c r="FQ824">
        <v>0</v>
      </c>
      <c r="FR824">
        <f>ROUND(IF(AND(BH824=3,BI824=3),P824,0),2)</f>
        <v>0</v>
      </c>
      <c r="FS824">
        <v>0</v>
      </c>
      <c r="FX824">
        <v>70</v>
      </c>
      <c r="FY824">
        <v>10</v>
      </c>
      <c r="GA824" t="s">
        <v>3</v>
      </c>
      <c r="GD824">
        <v>0</v>
      </c>
      <c r="GF824">
        <v>1018568157</v>
      </c>
      <c r="GG824">
        <v>2</v>
      </c>
      <c r="GH824">
        <v>1</v>
      </c>
      <c r="GI824">
        <v>-2</v>
      </c>
      <c r="GJ824">
        <v>0</v>
      </c>
      <c r="GK824">
        <f>ROUND(R824*(R12)/100,2)</f>
        <v>7755.31</v>
      </c>
      <c r="GL824">
        <f>ROUND(IF(AND(BH824=3,BI824=3,FS824&lt;&gt;0),P824,0),2)</f>
        <v>0</v>
      </c>
      <c r="GM824">
        <f>ROUND(O824+X824+Y824+GK824,2)+GX824</f>
        <v>398610.83</v>
      </c>
      <c r="GN824">
        <f>IF(OR(BI824=0,BI824=1),ROUND(O824+X824+Y824+GK824,2),0)</f>
        <v>0</v>
      </c>
      <c r="GO824">
        <f>IF(BI824=2,ROUND(O824+X824+Y824+GK824,2),0)</f>
        <v>0</v>
      </c>
      <c r="GP824">
        <f>IF(BI824=4,ROUND(O824+X824+Y824+GK824,2)+GX824,0)</f>
        <v>398610.83</v>
      </c>
      <c r="GR824">
        <v>0</v>
      </c>
      <c r="GS824">
        <v>3</v>
      </c>
      <c r="GT824">
        <v>0</v>
      </c>
      <c r="GU824" t="s">
        <v>3</v>
      </c>
      <c r="GV824">
        <f>ROUND((GT824),6)</f>
        <v>0</v>
      </c>
      <c r="GW824">
        <v>1</v>
      </c>
      <c r="GX824">
        <f>ROUND(HC824*I824,2)</f>
        <v>0</v>
      </c>
      <c r="HA824">
        <v>0</v>
      </c>
      <c r="HB824">
        <v>0</v>
      </c>
      <c r="HC824">
        <f>GV824*GW824</f>
        <v>0</v>
      </c>
      <c r="HE824" t="s">
        <v>3</v>
      </c>
      <c r="HF824" t="s">
        <v>3</v>
      </c>
      <c r="IK824">
        <v>0</v>
      </c>
    </row>
    <row r="825" spans="1:245" x14ac:dyDescent="0.2">
      <c r="A825">
        <v>17</v>
      </c>
      <c r="B825">
        <v>1</v>
      </c>
      <c r="C825">
        <f>ROW(SmtRes!A387)</f>
        <v>387</v>
      </c>
      <c r="D825">
        <f>ROW(EtalonRes!A354)</f>
        <v>354</v>
      </c>
      <c r="E825" t="s">
        <v>358</v>
      </c>
      <c r="F825" t="s">
        <v>257</v>
      </c>
      <c r="G825" t="s">
        <v>258</v>
      </c>
      <c r="H825" t="s">
        <v>155</v>
      </c>
      <c r="I825">
        <v>0.1</v>
      </c>
      <c r="J825">
        <v>0</v>
      </c>
      <c r="O825">
        <f>ROUND(CP825,2)</f>
        <v>10962.27</v>
      </c>
      <c r="P825">
        <f>ROUND(CQ825*I825,2)</f>
        <v>8046.95</v>
      </c>
      <c r="Q825">
        <f>ROUND(CR825*I825,2)</f>
        <v>74.400000000000006</v>
      </c>
      <c r="R825">
        <f>ROUND(CS825*I825,2)</f>
        <v>3.24</v>
      </c>
      <c r="S825">
        <f>ROUND(CT825*I825,2)</f>
        <v>2840.92</v>
      </c>
      <c r="T825">
        <f>ROUND(CU825*I825,2)</f>
        <v>0</v>
      </c>
      <c r="U825">
        <f>CV825*I825</f>
        <v>11.040000000000001</v>
      </c>
      <c r="V825">
        <f>CW825*I825</f>
        <v>0</v>
      </c>
      <c r="W825">
        <f>ROUND(CX825*I825,2)</f>
        <v>0</v>
      </c>
      <c r="X825">
        <f t="shared" si="386"/>
        <v>1988.64</v>
      </c>
      <c r="Y825">
        <f t="shared" si="386"/>
        <v>284.08999999999997</v>
      </c>
      <c r="AA825">
        <v>38799519</v>
      </c>
      <c r="AB825">
        <f>ROUND((AC825+AD825+AF825),6)</f>
        <v>109622.76</v>
      </c>
      <c r="AC825">
        <f>ROUND((ES825),6)</f>
        <v>80469.53</v>
      </c>
      <c r="AD825">
        <f>ROUND((((ET825)-(EU825))+AE825),6)</f>
        <v>744</v>
      </c>
      <c r="AE825">
        <f t="shared" si="387"/>
        <v>32.4</v>
      </c>
      <c r="AF825">
        <f t="shared" si="387"/>
        <v>28409.23</v>
      </c>
      <c r="AG825">
        <f>ROUND((AP825),6)</f>
        <v>0</v>
      </c>
      <c r="AH825">
        <f t="shared" si="388"/>
        <v>110.4</v>
      </c>
      <c r="AI825">
        <f t="shared" si="388"/>
        <v>0</v>
      </c>
      <c r="AJ825">
        <f>(AS825)</f>
        <v>0</v>
      </c>
      <c r="AK825">
        <v>109622.76</v>
      </c>
      <c r="AL825">
        <v>80469.53</v>
      </c>
      <c r="AM825">
        <v>744</v>
      </c>
      <c r="AN825">
        <v>32.4</v>
      </c>
      <c r="AO825">
        <v>28409.23</v>
      </c>
      <c r="AP825">
        <v>0</v>
      </c>
      <c r="AQ825">
        <v>110.4</v>
      </c>
      <c r="AR825">
        <v>0</v>
      </c>
      <c r="AS825">
        <v>0</v>
      </c>
      <c r="AT825">
        <v>70</v>
      </c>
      <c r="AU825">
        <v>10</v>
      </c>
      <c r="AV825">
        <v>1</v>
      </c>
      <c r="AW825">
        <v>1</v>
      </c>
      <c r="AZ825">
        <v>1</v>
      </c>
      <c r="BA825">
        <v>1</v>
      </c>
      <c r="BB825">
        <v>1</v>
      </c>
      <c r="BC825">
        <v>1</v>
      </c>
      <c r="BD825" t="s">
        <v>3</v>
      </c>
      <c r="BE825" t="s">
        <v>3</v>
      </c>
      <c r="BF825" t="s">
        <v>3</v>
      </c>
      <c r="BG825" t="s">
        <v>3</v>
      </c>
      <c r="BH825">
        <v>0</v>
      </c>
      <c r="BI825">
        <v>4</v>
      </c>
      <c r="BJ825" t="s">
        <v>259</v>
      </c>
      <c r="BM825">
        <v>0</v>
      </c>
      <c r="BN825">
        <v>0</v>
      </c>
      <c r="BO825" t="s">
        <v>3</v>
      </c>
      <c r="BP825">
        <v>0</v>
      </c>
      <c r="BQ825">
        <v>1</v>
      </c>
      <c r="BR825">
        <v>0</v>
      </c>
      <c r="BS825">
        <v>1</v>
      </c>
      <c r="BT825">
        <v>1</v>
      </c>
      <c r="BU825">
        <v>1</v>
      </c>
      <c r="BV825">
        <v>1</v>
      </c>
      <c r="BW825">
        <v>1</v>
      </c>
      <c r="BX825">
        <v>1</v>
      </c>
      <c r="BY825" t="s">
        <v>3</v>
      </c>
      <c r="BZ825">
        <v>70</v>
      </c>
      <c r="CA825">
        <v>10</v>
      </c>
      <c r="CE825">
        <v>0</v>
      </c>
      <c r="CF825">
        <v>0</v>
      </c>
      <c r="CG825">
        <v>0</v>
      </c>
      <c r="CM825">
        <v>0</v>
      </c>
      <c r="CN825" t="s">
        <v>3</v>
      </c>
      <c r="CO825">
        <v>0</v>
      </c>
      <c r="CP825">
        <f>(P825+Q825+S825)</f>
        <v>10962.27</v>
      </c>
      <c r="CQ825">
        <f>(AC825*BC825*AW825)</f>
        <v>80469.53</v>
      </c>
      <c r="CR825">
        <f>((((ET825)*BB825-(EU825)*BS825)+AE825*BS825)*AV825)</f>
        <v>744</v>
      </c>
      <c r="CS825">
        <f>(AE825*BS825*AV825)</f>
        <v>32.4</v>
      </c>
      <c r="CT825">
        <f>(AF825*BA825*AV825)</f>
        <v>28409.23</v>
      </c>
      <c r="CU825">
        <f>AG825</f>
        <v>0</v>
      </c>
      <c r="CV825">
        <f>(AH825*AV825)</f>
        <v>110.4</v>
      </c>
      <c r="CW825">
        <f t="shared" si="389"/>
        <v>0</v>
      </c>
      <c r="CX825">
        <f t="shared" si="389"/>
        <v>0</v>
      </c>
      <c r="CY825">
        <f>((S825*BZ825)/100)</f>
        <v>1988.644</v>
      </c>
      <c r="CZ825">
        <f>((S825*CA825)/100)</f>
        <v>284.09199999999998</v>
      </c>
      <c r="DC825" t="s">
        <v>3</v>
      </c>
      <c r="DD825" t="s">
        <v>3</v>
      </c>
      <c r="DE825" t="s">
        <v>3</v>
      </c>
      <c r="DF825" t="s">
        <v>3</v>
      </c>
      <c r="DG825" t="s">
        <v>3</v>
      </c>
      <c r="DH825" t="s">
        <v>3</v>
      </c>
      <c r="DI825" t="s">
        <v>3</v>
      </c>
      <c r="DJ825" t="s">
        <v>3</v>
      </c>
      <c r="DK825" t="s">
        <v>3</v>
      </c>
      <c r="DL825" t="s">
        <v>3</v>
      </c>
      <c r="DM825" t="s">
        <v>3</v>
      </c>
      <c r="DN825">
        <v>0</v>
      </c>
      <c r="DO825">
        <v>0</v>
      </c>
      <c r="DP825">
        <v>1</v>
      </c>
      <c r="DQ825">
        <v>1</v>
      </c>
      <c r="DU825">
        <v>1009</v>
      </c>
      <c r="DV825" t="s">
        <v>155</v>
      </c>
      <c r="DW825" t="s">
        <v>155</v>
      </c>
      <c r="DX825">
        <v>1000</v>
      </c>
      <c r="EE825">
        <v>38447819</v>
      </c>
      <c r="EF825">
        <v>1</v>
      </c>
      <c r="EG825" t="s">
        <v>23</v>
      </c>
      <c r="EH825">
        <v>0</v>
      </c>
      <c r="EI825" t="s">
        <v>3</v>
      </c>
      <c r="EJ825">
        <v>4</v>
      </c>
      <c r="EK825">
        <v>0</v>
      </c>
      <c r="EL825" t="s">
        <v>24</v>
      </c>
      <c r="EM825" t="s">
        <v>25</v>
      </c>
      <c r="EO825" t="s">
        <v>3</v>
      </c>
      <c r="EQ825">
        <v>0</v>
      </c>
      <c r="ER825">
        <v>109622.76</v>
      </c>
      <c r="ES825">
        <v>80469.53</v>
      </c>
      <c r="ET825">
        <v>744</v>
      </c>
      <c r="EU825">
        <v>32.4</v>
      </c>
      <c r="EV825">
        <v>28409.23</v>
      </c>
      <c r="EW825">
        <v>110.4</v>
      </c>
      <c r="EX825">
        <v>0</v>
      </c>
      <c r="EY825">
        <v>0</v>
      </c>
      <c r="FQ825">
        <v>0</v>
      </c>
      <c r="FR825">
        <f>ROUND(IF(AND(BH825=3,BI825=3),P825,0),2)</f>
        <v>0</v>
      </c>
      <c r="FS825">
        <v>0</v>
      </c>
      <c r="FX825">
        <v>70</v>
      </c>
      <c r="FY825">
        <v>10</v>
      </c>
      <c r="GA825" t="s">
        <v>3</v>
      </c>
      <c r="GD825">
        <v>0</v>
      </c>
      <c r="GF825">
        <v>-1198396677</v>
      </c>
      <c r="GG825">
        <v>2</v>
      </c>
      <c r="GH825">
        <v>1</v>
      </c>
      <c r="GI825">
        <v>-2</v>
      </c>
      <c r="GJ825">
        <v>0</v>
      </c>
      <c r="GK825">
        <f>ROUND(R825*(R12)/100,2)</f>
        <v>3.5</v>
      </c>
      <c r="GL825">
        <f>ROUND(IF(AND(BH825=3,BI825=3,FS825&lt;&gt;0),P825,0),2)</f>
        <v>0</v>
      </c>
      <c r="GM825">
        <f>ROUND(O825+X825+Y825+GK825,2)+GX825</f>
        <v>13238.5</v>
      </c>
      <c r="GN825">
        <f>IF(OR(BI825=0,BI825=1),ROUND(O825+X825+Y825+GK825,2),0)</f>
        <v>0</v>
      </c>
      <c r="GO825">
        <f>IF(BI825=2,ROUND(O825+X825+Y825+GK825,2),0)</f>
        <v>0</v>
      </c>
      <c r="GP825">
        <f>IF(BI825=4,ROUND(O825+X825+Y825+GK825,2)+GX825,0)</f>
        <v>13238.5</v>
      </c>
      <c r="GR825">
        <v>0</v>
      </c>
      <c r="GS825">
        <v>3</v>
      </c>
      <c r="GT825">
        <v>0</v>
      </c>
      <c r="GU825" t="s">
        <v>3</v>
      </c>
      <c r="GV825">
        <f>ROUND((GT825),6)</f>
        <v>0</v>
      </c>
      <c r="GW825">
        <v>1</v>
      </c>
      <c r="GX825">
        <f>ROUND(HC825*I825,2)</f>
        <v>0</v>
      </c>
      <c r="HA825">
        <v>0</v>
      </c>
      <c r="HB825">
        <v>0</v>
      </c>
      <c r="HC825">
        <f>GV825*GW825</f>
        <v>0</v>
      </c>
      <c r="HE825" t="s">
        <v>3</v>
      </c>
      <c r="HF825" t="s">
        <v>3</v>
      </c>
      <c r="IK825">
        <v>0</v>
      </c>
    </row>
    <row r="826" spans="1:245" x14ac:dyDescent="0.2">
      <c r="A826">
        <v>18</v>
      </c>
      <c r="B826">
        <v>1</v>
      </c>
      <c r="C826">
        <v>387</v>
      </c>
      <c r="E826" t="s">
        <v>359</v>
      </c>
      <c r="F826" t="s">
        <v>196</v>
      </c>
      <c r="G826" t="s">
        <v>360</v>
      </c>
      <c r="H826" t="s">
        <v>198</v>
      </c>
      <c r="I826">
        <f>I825*J826</f>
        <v>2</v>
      </c>
      <c r="J826">
        <v>20</v>
      </c>
      <c r="O826">
        <f>ROUND(CP826,2)</f>
        <v>21250</v>
      </c>
      <c r="P826">
        <f>ROUND(CQ826*I826,2)</f>
        <v>21250</v>
      </c>
      <c r="Q826">
        <f>ROUND(CR826*I826,2)</f>
        <v>0</v>
      </c>
      <c r="R826">
        <f>ROUND(CS826*I826,2)</f>
        <v>0</v>
      </c>
      <c r="S826">
        <f>ROUND(CT826*I826,2)</f>
        <v>0</v>
      </c>
      <c r="T826">
        <f>ROUND(CU826*I826,2)</f>
        <v>0</v>
      </c>
      <c r="U826">
        <f>CV826*I826</f>
        <v>0</v>
      </c>
      <c r="V826">
        <f>CW826*I826</f>
        <v>0</v>
      </c>
      <c r="W826">
        <f>ROUND(CX826*I826,2)</f>
        <v>0</v>
      </c>
      <c r="X826">
        <f t="shared" si="386"/>
        <v>0</v>
      </c>
      <c r="Y826">
        <f t="shared" si="386"/>
        <v>0</v>
      </c>
      <c r="AA826">
        <v>38799519</v>
      </c>
      <c r="AB826">
        <f>ROUND((AC826+AD826+AF826),6)</f>
        <v>10625</v>
      </c>
      <c r="AC826">
        <f>ROUND((ES826),6)</f>
        <v>10625</v>
      </c>
      <c r="AD826">
        <f>ROUND((((ET826)-(EU826))+AE826),6)</f>
        <v>0</v>
      </c>
      <c r="AE826">
        <f t="shared" si="387"/>
        <v>0</v>
      </c>
      <c r="AF826">
        <f t="shared" si="387"/>
        <v>0</v>
      </c>
      <c r="AG826">
        <f>ROUND((AP826),6)</f>
        <v>0</v>
      </c>
      <c r="AH826">
        <f t="shared" si="388"/>
        <v>0</v>
      </c>
      <c r="AI826">
        <f t="shared" si="388"/>
        <v>0</v>
      </c>
      <c r="AJ826">
        <f>(AS826)</f>
        <v>0</v>
      </c>
      <c r="AK826">
        <v>10625</v>
      </c>
      <c r="AL826">
        <v>10625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70</v>
      </c>
      <c r="AU826">
        <v>10</v>
      </c>
      <c r="AV826">
        <v>1</v>
      </c>
      <c r="AW826">
        <v>1</v>
      </c>
      <c r="AZ826">
        <v>1</v>
      </c>
      <c r="BA826">
        <v>1</v>
      </c>
      <c r="BB826">
        <v>1</v>
      </c>
      <c r="BC826">
        <v>1</v>
      </c>
      <c r="BD826" t="s">
        <v>3</v>
      </c>
      <c r="BE826" t="s">
        <v>3</v>
      </c>
      <c r="BF826" t="s">
        <v>3</v>
      </c>
      <c r="BG826" t="s">
        <v>3</v>
      </c>
      <c r="BH826">
        <v>3</v>
      </c>
      <c r="BI826">
        <v>4</v>
      </c>
      <c r="BJ826" t="s">
        <v>3</v>
      </c>
      <c r="BM826">
        <v>0</v>
      </c>
      <c r="BN826">
        <v>0</v>
      </c>
      <c r="BO826" t="s">
        <v>3</v>
      </c>
      <c r="BP826">
        <v>0</v>
      </c>
      <c r="BQ826">
        <v>1</v>
      </c>
      <c r="BR826">
        <v>0</v>
      </c>
      <c r="BS826">
        <v>1</v>
      </c>
      <c r="BT826">
        <v>1</v>
      </c>
      <c r="BU826">
        <v>1</v>
      </c>
      <c r="BV826">
        <v>1</v>
      </c>
      <c r="BW826">
        <v>1</v>
      </c>
      <c r="BX826">
        <v>1</v>
      </c>
      <c r="BY826" t="s">
        <v>3</v>
      </c>
      <c r="BZ826">
        <v>70</v>
      </c>
      <c r="CA826">
        <v>10</v>
      </c>
      <c r="CE826">
        <v>0</v>
      </c>
      <c r="CF826">
        <v>0</v>
      </c>
      <c r="CG826">
        <v>0</v>
      </c>
      <c r="CM826">
        <v>0</v>
      </c>
      <c r="CN826" t="s">
        <v>3</v>
      </c>
      <c r="CO826">
        <v>0</v>
      </c>
      <c r="CP826">
        <f>(P826+Q826+S826)</f>
        <v>21250</v>
      </c>
      <c r="CQ826">
        <f>(AC826*BC826*AW826)</f>
        <v>10625</v>
      </c>
      <c r="CR826">
        <f>((((ET826)*BB826-(EU826)*BS826)+AE826*BS826)*AV826)</f>
        <v>0</v>
      </c>
      <c r="CS826">
        <f>(AE826*BS826*AV826)</f>
        <v>0</v>
      </c>
      <c r="CT826">
        <f>(AF826*BA826*AV826)</f>
        <v>0</v>
      </c>
      <c r="CU826">
        <f>AG826</f>
        <v>0</v>
      </c>
      <c r="CV826">
        <f>(AH826*AV826)</f>
        <v>0</v>
      </c>
      <c r="CW826">
        <f t="shared" si="389"/>
        <v>0</v>
      </c>
      <c r="CX826">
        <f t="shared" si="389"/>
        <v>0</v>
      </c>
      <c r="CY826">
        <f>((S826*BZ826)/100)</f>
        <v>0</v>
      </c>
      <c r="CZ826">
        <f>((S826*CA826)/100)</f>
        <v>0</v>
      </c>
      <c r="DC826" t="s">
        <v>3</v>
      </c>
      <c r="DD826" t="s">
        <v>3</v>
      </c>
      <c r="DE826" t="s">
        <v>3</v>
      </c>
      <c r="DF826" t="s">
        <v>3</v>
      </c>
      <c r="DG826" t="s">
        <v>3</v>
      </c>
      <c r="DH826" t="s">
        <v>3</v>
      </c>
      <c r="DI826" t="s">
        <v>3</v>
      </c>
      <c r="DJ826" t="s">
        <v>3</v>
      </c>
      <c r="DK826" t="s">
        <v>3</v>
      </c>
      <c r="DL826" t="s">
        <v>3</v>
      </c>
      <c r="DM826" t="s">
        <v>3</v>
      </c>
      <c r="DN826">
        <v>0</v>
      </c>
      <c r="DO826">
        <v>0</v>
      </c>
      <c r="DP826">
        <v>1</v>
      </c>
      <c r="DQ826">
        <v>1</v>
      </c>
      <c r="DU826">
        <v>1010</v>
      </c>
      <c r="DV826" t="s">
        <v>198</v>
      </c>
      <c r="DW826" t="s">
        <v>198</v>
      </c>
      <c r="DX826">
        <v>1</v>
      </c>
      <c r="EE826">
        <v>38447819</v>
      </c>
      <c r="EF826">
        <v>1</v>
      </c>
      <c r="EG826" t="s">
        <v>23</v>
      </c>
      <c r="EH826">
        <v>0</v>
      </c>
      <c r="EI826" t="s">
        <v>3</v>
      </c>
      <c r="EJ826">
        <v>4</v>
      </c>
      <c r="EK826">
        <v>0</v>
      </c>
      <c r="EL826" t="s">
        <v>24</v>
      </c>
      <c r="EM826" t="s">
        <v>25</v>
      </c>
      <c r="EO826" t="s">
        <v>3</v>
      </c>
      <c r="EQ826">
        <v>0</v>
      </c>
      <c r="ER826">
        <v>10625</v>
      </c>
      <c r="ES826">
        <v>10625</v>
      </c>
      <c r="ET826">
        <v>0</v>
      </c>
      <c r="EU826">
        <v>0</v>
      </c>
      <c r="EV826">
        <v>0</v>
      </c>
      <c r="EW826">
        <v>0</v>
      </c>
      <c r="EX826">
        <v>0</v>
      </c>
      <c r="EZ826">
        <v>5</v>
      </c>
      <c r="FC826">
        <v>1</v>
      </c>
      <c r="FD826">
        <v>18</v>
      </c>
      <c r="FF826">
        <v>12750</v>
      </c>
      <c r="FQ826">
        <v>0</v>
      </c>
      <c r="FR826">
        <f>ROUND(IF(AND(BH826=3,BI826=3),P826,0),2)</f>
        <v>0</v>
      </c>
      <c r="FS826">
        <v>0</v>
      </c>
      <c r="FX826">
        <v>70</v>
      </c>
      <c r="FY826">
        <v>10</v>
      </c>
      <c r="GA826" t="s">
        <v>233</v>
      </c>
      <c r="GD826">
        <v>0</v>
      </c>
      <c r="GF826">
        <v>941243767</v>
      </c>
      <c r="GG826">
        <v>2</v>
      </c>
      <c r="GH826">
        <v>3</v>
      </c>
      <c r="GI826">
        <v>-2</v>
      </c>
      <c r="GJ826">
        <v>0</v>
      </c>
      <c r="GK826">
        <f>ROUND(R826*(R12)/100,2)</f>
        <v>0</v>
      </c>
      <c r="GL826">
        <f>ROUND(IF(AND(BH826=3,BI826=3,FS826&lt;&gt;0),P826,0),2)</f>
        <v>0</v>
      </c>
      <c r="GM826">
        <f>ROUND(O826+X826+Y826+GK826,2)+GX826</f>
        <v>21250</v>
      </c>
      <c r="GN826">
        <f>IF(OR(BI826=0,BI826=1),ROUND(O826+X826+Y826+GK826,2),0)</f>
        <v>0</v>
      </c>
      <c r="GO826">
        <f>IF(BI826=2,ROUND(O826+X826+Y826+GK826,2),0)</f>
        <v>0</v>
      </c>
      <c r="GP826">
        <f>IF(BI826=4,ROUND(O826+X826+Y826+GK826,2)+GX826,0)</f>
        <v>21250</v>
      </c>
      <c r="GR826">
        <v>1</v>
      </c>
      <c r="GS826">
        <v>1</v>
      </c>
      <c r="GT826">
        <v>0</v>
      </c>
      <c r="GU826" t="s">
        <v>3</v>
      </c>
      <c r="GV826">
        <f>ROUND((GT826),6)</f>
        <v>0</v>
      </c>
      <c r="GW826">
        <v>1</v>
      </c>
      <c r="GX826">
        <f>ROUND(HC826*I826,2)</f>
        <v>0</v>
      </c>
      <c r="HA826">
        <v>0</v>
      </c>
      <c r="HB826">
        <v>0</v>
      </c>
      <c r="HC826">
        <f>GV826*GW826</f>
        <v>0</v>
      </c>
      <c r="HE826" t="s">
        <v>200</v>
      </c>
      <c r="HF826" t="s">
        <v>200</v>
      </c>
      <c r="IK826">
        <v>0</v>
      </c>
    </row>
    <row r="828" spans="1:245" x14ac:dyDescent="0.2">
      <c r="A828" s="2">
        <v>51</v>
      </c>
      <c r="B828" s="2">
        <f>B819</f>
        <v>1</v>
      </c>
      <c r="C828" s="2">
        <f>A819</f>
        <v>5</v>
      </c>
      <c r="D828" s="2">
        <f>ROW(A819)</f>
        <v>819</v>
      </c>
      <c r="E828" s="2"/>
      <c r="F828" s="2" t="str">
        <f>IF(F819&lt;&gt;"",F819,"")</f>
        <v>Новый подраздел</v>
      </c>
      <c r="G828" s="2" t="str">
        <f>IF(G819&lt;&gt;"",G819,"")</f>
        <v>Спорт площадки</v>
      </c>
      <c r="H828" s="2">
        <v>0</v>
      </c>
      <c r="I828" s="2"/>
      <c r="J828" s="2"/>
      <c r="K828" s="2"/>
      <c r="L828" s="2"/>
      <c r="M828" s="2"/>
      <c r="N828" s="2"/>
      <c r="O828" s="2">
        <f t="shared" ref="O828:T828" si="390">ROUND(AB828,2)</f>
        <v>413830.6</v>
      </c>
      <c r="P828" s="2">
        <f t="shared" si="390"/>
        <v>385508.43</v>
      </c>
      <c r="Q828" s="2">
        <f t="shared" si="390"/>
        <v>9182.43</v>
      </c>
      <c r="R828" s="2">
        <f t="shared" si="390"/>
        <v>7184.08</v>
      </c>
      <c r="S828" s="2">
        <f t="shared" si="390"/>
        <v>19139.740000000002</v>
      </c>
      <c r="T828" s="2">
        <f t="shared" si="390"/>
        <v>0</v>
      </c>
      <c r="U828" s="2">
        <f>AH828</f>
        <v>86.6952</v>
      </c>
      <c r="V828" s="2">
        <f>AI828</f>
        <v>0</v>
      </c>
      <c r="W828" s="2">
        <f>ROUND(AJ828,2)</f>
        <v>0</v>
      </c>
      <c r="X828" s="2">
        <f>ROUND(AK828,2)</f>
        <v>13397.82</v>
      </c>
      <c r="Y828" s="2">
        <f>ROUND(AL828,2)</f>
        <v>1913.98</v>
      </c>
      <c r="Z828" s="2"/>
      <c r="AA828" s="2"/>
      <c r="AB828" s="2">
        <f>ROUND(SUMIF(AA823:AA826,"=38799519",O823:O826),2)</f>
        <v>413830.6</v>
      </c>
      <c r="AC828" s="2">
        <f>ROUND(SUMIF(AA823:AA826,"=38799519",P823:P826),2)</f>
        <v>385508.43</v>
      </c>
      <c r="AD828" s="2">
        <f>ROUND(SUMIF(AA823:AA826,"=38799519",Q823:Q826),2)</f>
        <v>9182.43</v>
      </c>
      <c r="AE828" s="2">
        <f>ROUND(SUMIF(AA823:AA826,"=38799519",R823:R826),2)</f>
        <v>7184.08</v>
      </c>
      <c r="AF828" s="2">
        <f>ROUND(SUMIF(AA823:AA826,"=38799519",S823:S826),2)</f>
        <v>19139.740000000002</v>
      </c>
      <c r="AG828" s="2">
        <f>ROUND(SUMIF(AA823:AA826,"=38799519",T823:T826),2)</f>
        <v>0</v>
      </c>
      <c r="AH828" s="2">
        <f>SUMIF(AA823:AA826,"=38799519",U823:U826)</f>
        <v>86.6952</v>
      </c>
      <c r="AI828" s="2">
        <f>SUMIF(AA823:AA826,"=38799519",V823:V826)</f>
        <v>0</v>
      </c>
      <c r="AJ828" s="2">
        <f>ROUND(SUMIF(AA823:AA826,"=38799519",W823:W826),2)</f>
        <v>0</v>
      </c>
      <c r="AK828" s="2">
        <f>ROUND(SUMIF(AA823:AA826,"=38799519",X823:X826),2)</f>
        <v>13397.82</v>
      </c>
      <c r="AL828" s="2">
        <f>ROUND(SUMIF(AA823:AA826,"=38799519",Y823:Y826),2)</f>
        <v>1913.98</v>
      </c>
      <c r="AM828" s="2"/>
      <c r="AN828" s="2"/>
      <c r="AO828" s="2">
        <f t="shared" ref="AO828:BD828" si="391">ROUND(BX828,2)</f>
        <v>0</v>
      </c>
      <c r="AP828" s="2">
        <f t="shared" si="391"/>
        <v>0</v>
      </c>
      <c r="AQ828" s="2">
        <f t="shared" si="391"/>
        <v>0</v>
      </c>
      <c r="AR828" s="2">
        <f t="shared" si="391"/>
        <v>436901.21</v>
      </c>
      <c r="AS828" s="2">
        <f t="shared" si="391"/>
        <v>0</v>
      </c>
      <c r="AT828" s="2">
        <f t="shared" si="391"/>
        <v>0</v>
      </c>
      <c r="AU828" s="2">
        <f t="shared" si="391"/>
        <v>436901.21</v>
      </c>
      <c r="AV828" s="2">
        <f t="shared" si="391"/>
        <v>385508.43</v>
      </c>
      <c r="AW828" s="2">
        <f t="shared" si="391"/>
        <v>385508.43</v>
      </c>
      <c r="AX828" s="2">
        <f t="shared" si="391"/>
        <v>0</v>
      </c>
      <c r="AY828" s="2">
        <f t="shared" si="391"/>
        <v>385508.43</v>
      </c>
      <c r="AZ828" s="2">
        <f t="shared" si="391"/>
        <v>0</v>
      </c>
      <c r="BA828" s="2">
        <f t="shared" si="391"/>
        <v>0</v>
      </c>
      <c r="BB828" s="2">
        <f t="shared" si="391"/>
        <v>0</v>
      </c>
      <c r="BC828" s="2">
        <f t="shared" si="391"/>
        <v>0</v>
      </c>
      <c r="BD828" s="2">
        <f t="shared" si="391"/>
        <v>0</v>
      </c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>
        <f>ROUND(SUMIF(AA823:AA826,"=38799519",FQ823:FQ826),2)</f>
        <v>0</v>
      </c>
      <c r="BY828" s="2">
        <f>ROUND(SUMIF(AA823:AA826,"=38799519",FR823:FR826),2)</f>
        <v>0</v>
      </c>
      <c r="BZ828" s="2">
        <f>ROUND(SUMIF(AA823:AA826,"=38799519",GL823:GL826),2)</f>
        <v>0</v>
      </c>
      <c r="CA828" s="2">
        <f>ROUND(SUMIF(AA823:AA826,"=38799519",GM823:GM826),2)</f>
        <v>436901.21</v>
      </c>
      <c r="CB828" s="2">
        <f>ROUND(SUMIF(AA823:AA826,"=38799519",GN823:GN826),2)</f>
        <v>0</v>
      </c>
      <c r="CC828" s="2">
        <f>ROUND(SUMIF(AA823:AA826,"=38799519",GO823:GO826),2)</f>
        <v>0</v>
      </c>
      <c r="CD828" s="2">
        <f>ROUND(SUMIF(AA823:AA826,"=38799519",GP823:GP826),2)</f>
        <v>436901.21</v>
      </c>
      <c r="CE828" s="2">
        <f>AC828-BX828</f>
        <v>385508.43</v>
      </c>
      <c r="CF828" s="2">
        <f>AC828-BY828</f>
        <v>385508.43</v>
      </c>
      <c r="CG828" s="2">
        <f>BX828-BZ828</f>
        <v>0</v>
      </c>
      <c r="CH828" s="2">
        <f>AC828-BX828-BY828+BZ828</f>
        <v>385508.43</v>
      </c>
      <c r="CI828" s="2">
        <f>BY828-BZ828</f>
        <v>0</v>
      </c>
      <c r="CJ828" s="2">
        <f>ROUND(SUMIF(AA823:AA826,"=38799519",GX823:GX826),2)</f>
        <v>0</v>
      </c>
      <c r="CK828" s="2">
        <f>ROUND(SUMIF(AA823:AA826,"=38799519",GY823:GY826),2)</f>
        <v>0</v>
      </c>
      <c r="CL828" s="2">
        <f>ROUND(SUMIF(AA823:AA826,"=38799519",GZ823:GZ826),2)</f>
        <v>0</v>
      </c>
      <c r="CM828" s="2">
        <f>ROUND(SUMIF(AA823:AA826,"=38799519",HD823:HD826),2)</f>
        <v>0</v>
      </c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3"/>
      <c r="DH828" s="3"/>
      <c r="DI828" s="3"/>
      <c r="DJ828" s="3"/>
      <c r="DK828" s="3"/>
      <c r="DL828" s="3"/>
      <c r="DM828" s="3"/>
      <c r="DN828" s="3"/>
      <c r="DO828" s="3"/>
      <c r="DP828" s="3"/>
      <c r="DQ828" s="3"/>
      <c r="DR828" s="3"/>
      <c r="DS828" s="3"/>
      <c r="DT828" s="3"/>
      <c r="DU828" s="3"/>
      <c r="DV828" s="3"/>
      <c r="DW828" s="3"/>
      <c r="DX828" s="3"/>
      <c r="DY828" s="3"/>
      <c r="DZ828" s="3"/>
      <c r="EA828" s="3"/>
      <c r="EB828" s="3"/>
      <c r="EC828" s="3"/>
      <c r="ED828" s="3"/>
      <c r="EE828" s="3"/>
      <c r="EF828" s="3"/>
      <c r="EG828" s="3"/>
      <c r="EH828" s="3"/>
      <c r="EI828" s="3"/>
      <c r="EJ828" s="3"/>
      <c r="EK828" s="3"/>
      <c r="EL828" s="3"/>
      <c r="EM828" s="3"/>
      <c r="EN828" s="3"/>
      <c r="EO828" s="3"/>
      <c r="EP828" s="3"/>
      <c r="EQ828" s="3"/>
      <c r="ER828" s="3"/>
      <c r="ES828" s="3"/>
      <c r="ET828" s="3"/>
      <c r="EU828" s="3"/>
      <c r="EV828" s="3"/>
      <c r="EW828" s="3"/>
      <c r="EX828" s="3"/>
      <c r="EY828" s="3"/>
      <c r="EZ828" s="3"/>
      <c r="FA828" s="3"/>
      <c r="FB828" s="3"/>
      <c r="FC828" s="3"/>
      <c r="FD828" s="3"/>
      <c r="FE828" s="3"/>
      <c r="FF828" s="3"/>
      <c r="FG828" s="3"/>
      <c r="FH828" s="3"/>
      <c r="FI828" s="3"/>
      <c r="FJ828" s="3"/>
      <c r="FK828" s="3"/>
      <c r="FL828" s="3"/>
      <c r="FM828" s="3"/>
      <c r="FN828" s="3"/>
      <c r="FO828" s="3"/>
      <c r="FP828" s="3"/>
      <c r="FQ828" s="3"/>
      <c r="FR828" s="3"/>
      <c r="FS828" s="3"/>
      <c r="FT828" s="3"/>
      <c r="FU828" s="3"/>
      <c r="FV828" s="3"/>
      <c r="FW828" s="3"/>
      <c r="FX828" s="3"/>
      <c r="FY828" s="3"/>
      <c r="FZ828" s="3"/>
      <c r="GA828" s="3"/>
      <c r="GB828" s="3"/>
      <c r="GC828" s="3"/>
      <c r="GD828" s="3"/>
      <c r="GE828" s="3"/>
      <c r="GF828" s="3"/>
      <c r="GG828" s="3"/>
      <c r="GH828" s="3"/>
      <c r="GI828" s="3"/>
      <c r="GJ828" s="3"/>
      <c r="GK828" s="3"/>
      <c r="GL828" s="3"/>
      <c r="GM828" s="3"/>
      <c r="GN828" s="3"/>
      <c r="GO828" s="3"/>
      <c r="GP828" s="3"/>
      <c r="GQ828" s="3"/>
      <c r="GR828" s="3"/>
      <c r="GS828" s="3"/>
      <c r="GT828" s="3"/>
      <c r="GU828" s="3"/>
      <c r="GV828" s="3"/>
      <c r="GW828" s="3"/>
      <c r="GX828" s="3">
        <v>0</v>
      </c>
    </row>
    <row r="830" spans="1:245" x14ac:dyDescent="0.2">
      <c r="A830" s="4">
        <v>50</v>
      </c>
      <c r="B830" s="4">
        <v>0</v>
      </c>
      <c r="C830" s="4">
        <v>0</v>
      </c>
      <c r="D830" s="4">
        <v>1</v>
      </c>
      <c r="E830" s="4">
        <v>201</v>
      </c>
      <c r="F830" s="4">
        <f>ROUND(Source!O828,O830)</f>
        <v>413830.6</v>
      </c>
      <c r="G830" s="4" t="s">
        <v>50</v>
      </c>
      <c r="H830" s="4" t="s">
        <v>51</v>
      </c>
      <c r="I830" s="4"/>
      <c r="J830" s="4"/>
      <c r="K830" s="4">
        <v>201</v>
      </c>
      <c r="L830" s="4">
        <v>1</v>
      </c>
      <c r="M830" s="4">
        <v>3</v>
      </c>
      <c r="N830" s="4" t="s">
        <v>3</v>
      </c>
      <c r="O830" s="4">
        <v>2</v>
      </c>
      <c r="P830" s="4"/>
      <c r="Q830" s="4"/>
      <c r="R830" s="4"/>
      <c r="S830" s="4"/>
      <c r="T830" s="4"/>
      <c r="U830" s="4"/>
      <c r="V830" s="4"/>
      <c r="W830" s="4"/>
    </row>
    <row r="831" spans="1:245" x14ac:dyDescent="0.2">
      <c r="A831" s="4">
        <v>50</v>
      </c>
      <c r="B831" s="4">
        <v>0</v>
      </c>
      <c r="C831" s="4">
        <v>0</v>
      </c>
      <c r="D831" s="4">
        <v>1</v>
      </c>
      <c r="E831" s="4">
        <v>202</v>
      </c>
      <c r="F831" s="4">
        <f>ROUND(Source!P828,O831)</f>
        <v>385508.43</v>
      </c>
      <c r="G831" s="4" t="s">
        <v>52</v>
      </c>
      <c r="H831" s="4" t="s">
        <v>53</v>
      </c>
      <c r="I831" s="4"/>
      <c r="J831" s="4"/>
      <c r="K831" s="4">
        <v>202</v>
      </c>
      <c r="L831" s="4">
        <v>2</v>
      </c>
      <c r="M831" s="4">
        <v>3</v>
      </c>
      <c r="N831" s="4" t="s">
        <v>3</v>
      </c>
      <c r="O831" s="4">
        <v>2</v>
      </c>
      <c r="P831" s="4"/>
      <c r="Q831" s="4"/>
      <c r="R831" s="4"/>
      <c r="S831" s="4"/>
      <c r="T831" s="4"/>
      <c r="U831" s="4"/>
      <c r="V831" s="4"/>
      <c r="W831" s="4"/>
    </row>
    <row r="832" spans="1:245" x14ac:dyDescent="0.2">
      <c r="A832" s="4">
        <v>50</v>
      </c>
      <c r="B832" s="4">
        <v>0</v>
      </c>
      <c r="C832" s="4">
        <v>0</v>
      </c>
      <c r="D832" s="4">
        <v>1</v>
      </c>
      <c r="E832" s="4">
        <v>222</v>
      </c>
      <c r="F832" s="4">
        <f>ROUND(Source!AO828,O832)</f>
        <v>0</v>
      </c>
      <c r="G832" s="4" t="s">
        <v>54</v>
      </c>
      <c r="H832" s="4" t="s">
        <v>55</v>
      </c>
      <c r="I832" s="4"/>
      <c r="J832" s="4"/>
      <c r="K832" s="4">
        <v>222</v>
      </c>
      <c r="L832" s="4">
        <v>3</v>
      </c>
      <c r="M832" s="4">
        <v>3</v>
      </c>
      <c r="N832" s="4" t="s">
        <v>3</v>
      </c>
      <c r="O832" s="4">
        <v>2</v>
      </c>
      <c r="P832" s="4"/>
      <c r="Q832" s="4"/>
      <c r="R832" s="4"/>
      <c r="S832" s="4"/>
      <c r="T832" s="4"/>
      <c r="U832" s="4"/>
      <c r="V832" s="4"/>
      <c r="W832" s="4"/>
    </row>
    <row r="833" spans="1:23" x14ac:dyDescent="0.2">
      <c r="A833" s="4">
        <v>50</v>
      </c>
      <c r="B833" s="4">
        <v>0</v>
      </c>
      <c r="C833" s="4">
        <v>0</v>
      </c>
      <c r="D833" s="4">
        <v>1</v>
      </c>
      <c r="E833" s="4">
        <v>225</v>
      </c>
      <c r="F833" s="4">
        <f>ROUND(Source!AV828,O833)</f>
        <v>385508.43</v>
      </c>
      <c r="G833" s="4" t="s">
        <v>56</v>
      </c>
      <c r="H833" s="4" t="s">
        <v>57</v>
      </c>
      <c r="I833" s="4"/>
      <c r="J833" s="4"/>
      <c r="K833" s="4">
        <v>225</v>
      </c>
      <c r="L833" s="4">
        <v>4</v>
      </c>
      <c r="M833" s="4">
        <v>3</v>
      </c>
      <c r="N833" s="4" t="s">
        <v>3</v>
      </c>
      <c r="O833" s="4">
        <v>2</v>
      </c>
      <c r="P833" s="4"/>
      <c r="Q833" s="4"/>
      <c r="R833" s="4"/>
      <c r="S833" s="4"/>
      <c r="T833" s="4"/>
      <c r="U833" s="4"/>
      <c r="V833" s="4"/>
      <c r="W833" s="4"/>
    </row>
    <row r="834" spans="1:23" x14ac:dyDescent="0.2">
      <c r="A834" s="4">
        <v>50</v>
      </c>
      <c r="B834" s="4">
        <v>0</v>
      </c>
      <c r="C834" s="4">
        <v>0</v>
      </c>
      <c r="D834" s="4">
        <v>1</v>
      </c>
      <c r="E834" s="4">
        <v>226</v>
      </c>
      <c r="F834" s="4">
        <f>ROUND(Source!AW828,O834)</f>
        <v>385508.43</v>
      </c>
      <c r="G834" s="4" t="s">
        <v>58</v>
      </c>
      <c r="H834" s="4" t="s">
        <v>59</v>
      </c>
      <c r="I834" s="4"/>
      <c r="J834" s="4"/>
      <c r="K834" s="4">
        <v>226</v>
      </c>
      <c r="L834" s="4">
        <v>5</v>
      </c>
      <c r="M834" s="4">
        <v>3</v>
      </c>
      <c r="N834" s="4" t="s">
        <v>3</v>
      </c>
      <c r="O834" s="4">
        <v>2</v>
      </c>
      <c r="P834" s="4"/>
      <c r="Q834" s="4"/>
      <c r="R834" s="4"/>
      <c r="S834" s="4"/>
      <c r="T834" s="4"/>
      <c r="U834" s="4"/>
      <c r="V834" s="4"/>
      <c r="W834" s="4"/>
    </row>
    <row r="835" spans="1:23" x14ac:dyDescent="0.2">
      <c r="A835" s="4">
        <v>50</v>
      </c>
      <c r="B835" s="4">
        <v>0</v>
      </c>
      <c r="C835" s="4">
        <v>0</v>
      </c>
      <c r="D835" s="4">
        <v>1</v>
      </c>
      <c r="E835" s="4">
        <v>227</v>
      </c>
      <c r="F835" s="4">
        <f>ROUND(Source!AX828,O835)</f>
        <v>0</v>
      </c>
      <c r="G835" s="4" t="s">
        <v>60</v>
      </c>
      <c r="H835" s="4" t="s">
        <v>61</v>
      </c>
      <c r="I835" s="4"/>
      <c r="J835" s="4"/>
      <c r="K835" s="4">
        <v>227</v>
      </c>
      <c r="L835" s="4">
        <v>6</v>
      </c>
      <c r="M835" s="4">
        <v>3</v>
      </c>
      <c r="N835" s="4" t="s">
        <v>3</v>
      </c>
      <c r="O835" s="4">
        <v>2</v>
      </c>
      <c r="P835" s="4"/>
      <c r="Q835" s="4"/>
      <c r="R835" s="4"/>
      <c r="S835" s="4"/>
      <c r="T835" s="4"/>
      <c r="U835" s="4"/>
      <c r="V835" s="4"/>
      <c r="W835" s="4"/>
    </row>
    <row r="836" spans="1:23" x14ac:dyDescent="0.2">
      <c r="A836" s="4">
        <v>50</v>
      </c>
      <c r="B836" s="4">
        <v>0</v>
      </c>
      <c r="C836" s="4">
        <v>0</v>
      </c>
      <c r="D836" s="4">
        <v>1</v>
      </c>
      <c r="E836" s="4">
        <v>228</v>
      </c>
      <c r="F836" s="4">
        <f>ROUND(Source!AY828,O836)</f>
        <v>385508.43</v>
      </c>
      <c r="G836" s="4" t="s">
        <v>62</v>
      </c>
      <c r="H836" s="4" t="s">
        <v>63</v>
      </c>
      <c r="I836" s="4"/>
      <c r="J836" s="4"/>
      <c r="K836" s="4">
        <v>228</v>
      </c>
      <c r="L836" s="4">
        <v>7</v>
      </c>
      <c r="M836" s="4">
        <v>3</v>
      </c>
      <c r="N836" s="4" t="s">
        <v>3</v>
      </c>
      <c r="O836" s="4">
        <v>2</v>
      </c>
      <c r="P836" s="4"/>
      <c r="Q836" s="4"/>
      <c r="R836" s="4"/>
      <c r="S836" s="4"/>
      <c r="T836" s="4"/>
      <c r="U836" s="4"/>
      <c r="V836" s="4"/>
      <c r="W836" s="4"/>
    </row>
    <row r="837" spans="1:23" x14ac:dyDescent="0.2">
      <c r="A837" s="4">
        <v>50</v>
      </c>
      <c r="B837" s="4">
        <v>0</v>
      </c>
      <c r="C837" s="4">
        <v>0</v>
      </c>
      <c r="D837" s="4">
        <v>1</v>
      </c>
      <c r="E837" s="4">
        <v>216</v>
      </c>
      <c r="F837" s="4">
        <f>ROUND(Source!AP828,O837)</f>
        <v>0</v>
      </c>
      <c r="G837" s="4" t="s">
        <v>64</v>
      </c>
      <c r="H837" s="4" t="s">
        <v>65</v>
      </c>
      <c r="I837" s="4"/>
      <c r="J837" s="4"/>
      <c r="K837" s="4">
        <v>216</v>
      </c>
      <c r="L837" s="4">
        <v>8</v>
      </c>
      <c r="M837" s="4">
        <v>3</v>
      </c>
      <c r="N837" s="4" t="s">
        <v>3</v>
      </c>
      <c r="O837" s="4">
        <v>2</v>
      </c>
      <c r="P837" s="4"/>
      <c r="Q837" s="4"/>
      <c r="R837" s="4"/>
      <c r="S837" s="4"/>
      <c r="T837" s="4"/>
      <c r="U837" s="4"/>
      <c r="V837" s="4"/>
      <c r="W837" s="4"/>
    </row>
    <row r="838" spans="1:23" x14ac:dyDescent="0.2">
      <c r="A838" s="4">
        <v>50</v>
      </c>
      <c r="B838" s="4">
        <v>0</v>
      </c>
      <c r="C838" s="4">
        <v>0</v>
      </c>
      <c r="D838" s="4">
        <v>1</v>
      </c>
      <c r="E838" s="4">
        <v>223</v>
      </c>
      <c r="F838" s="4">
        <f>ROUND(Source!AQ828,O838)</f>
        <v>0</v>
      </c>
      <c r="G838" s="4" t="s">
        <v>66</v>
      </c>
      <c r="H838" s="4" t="s">
        <v>67</v>
      </c>
      <c r="I838" s="4"/>
      <c r="J838" s="4"/>
      <c r="K838" s="4">
        <v>223</v>
      </c>
      <c r="L838" s="4">
        <v>9</v>
      </c>
      <c r="M838" s="4">
        <v>3</v>
      </c>
      <c r="N838" s="4" t="s">
        <v>3</v>
      </c>
      <c r="O838" s="4">
        <v>2</v>
      </c>
      <c r="P838" s="4"/>
      <c r="Q838" s="4"/>
      <c r="R838" s="4"/>
      <c r="S838" s="4"/>
      <c r="T838" s="4"/>
      <c r="U838" s="4"/>
      <c r="V838" s="4"/>
      <c r="W838" s="4"/>
    </row>
    <row r="839" spans="1:23" x14ac:dyDescent="0.2">
      <c r="A839" s="4">
        <v>50</v>
      </c>
      <c r="B839" s="4">
        <v>0</v>
      </c>
      <c r="C839" s="4">
        <v>0</v>
      </c>
      <c r="D839" s="4">
        <v>1</v>
      </c>
      <c r="E839" s="4">
        <v>229</v>
      </c>
      <c r="F839" s="4">
        <f>ROUND(Source!AZ828,O839)</f>
        <v>0</v>
      </c>
      <c r="G839" s="4" t="s">
        <v>68</v>
      </c>
      <c r="H839" s="4" t="s">
        <v>69</v>
      </c>
      <c r="I839" s="4"/>
      <c r="J839" s="4"/>
      <c r="K839" s="4">
        <v>229</v>
      </c>
      <c r="L839" s="4">
        <v>10</v>
      </c>
      <c r="M839" s="4">
        <v>3</v>
      </c>
      <c r="N839" s="4" t="s">
        <v>3</v>
      </c>
      <c r="O839" s="4">
        <v>2</v>
      </c>
      <c r="P839" s="4"/>
      <c r="Q839" s="4"/>
      <c r="R839" s="4"/>
      <c r="S839" s="4"/>
      <c r="T839" s="4"/>
      <c r="U839" s="4"/>
      <c r="V839" s="4"/>
      <c r="W839" s="4"/>
    </row>
    <row r="840" spans="1:23" x14ac:dyDescent="0.2">
      <c r="A840" s="4">
        <v>50</v>
      </c>
      <c r="B840" s="4">
        <v>0</v>
      </c>
      <c r="C840" s="4">
        <v>0</v>
      </c>
      <c r="D840" s="4">
        <v>1</v>
      </c>
      <c r="E840" s="4">
        <v>203</v>
      </c>
      <c r="F840" s="4">
        <f>ROUND(Source!Q828,O840)</f>
        <v>9182.43</v>
      </c>
      <c r="G840" s="4" t="s">
        <v>70</v>
      </c>
      <c r="H840" s="4" t="s">
        <v>71</v>
      </c>
      <c r="I840" s="4"/>
      <c r="J840" s="4"/>
      <c r="K840" s="4">
        <v>203</v>
      </c>
      <c r="L840" s="4">
        <v>11</v>
      </c>
      <c r="M840" s="4">
        <v>3</v>
      </c>
      <c r="N840" s="4" t="s">
        <v>3</v>
      </c>
      <c r="O840" s="4">
        <v>2</v>
      </c>
      <c r="P840" s="4"/>
      <c r="Q840" s="4"/>
      <c r="R840" s="4"/>
      <c r="S840" s="4"/>
      <c r="T840" s="4"/>
      <c r="U840" s="4"/>
      <c r="V840" s="4"/>
      <c r="W840" s="4"/>
    </row>
    <row r="841" spans="1:23" x14ac:dyDescent="0.2">
      <c r="A841" s="4">
        <v>50</v>
      </c>
      <c r="B841" s="4">
        <v>0</v>
      </c>
      <c r="C841" s="4">
        <v>0</v>
      </c>
      <c r="D841" s="4">
        <v>1</v>
      </c>
      <c r="E841" s="4">
        <v>231</v>
      </c>
      <c r="F841" s="4">
        <f>ROUND(Source!BB828,O841)</f>
        <v>0</v>
      </c>
      <c r="G841" s="4" t="s">
        <v>72</v>
      </c>
      <c r="H841" s="4" t="s">
        <v>73</v>
      </c>
      <c r="I841" s="4"/>
      <c r="J841" s="4"/>
      <c r="K841" s="4">
        <v>231</v>
      </c>
      <c r="L841" s="4">
        <v>12</v>
      </c>
      <c r="M841" s="4">
        <v>3</v>
      </c>
      <c r="N841" s="4" t="s">
        <v>3</v>
      </c>
      <c r="O841" s="4">
        <v>2</v>
      </c>
      <c r="P841" s="4"/>
      <c r="Q841" s="4"/>
      <c r="R841" s="4"/>
      <c r="S841" s="4"/>
      <c r="T841" s="4"/>
      <c r="U841" s="4"/>
      <c r="V841" s="4"/>
      <c r="W841" s="4"/>
    </row>
    <row r="842" spans="1:23" x14ac:dyDescent="0.2">
      <c r="A842" s="4">
        <v>50</v>
      </c>
      <c r="B842" s="4">
        <v>0</v>
      </c>
      <c r="C842" s="4">
        <v>0</v>
      </c>
      <c r="D842" s="4">
        <v>1</v>
      </c>
      <c r="E842" s="4">
        <v>204</v>
      </c>
      <c r="F842" s="4">
        <f>ROUND(Source!R828,O842)</f>
        <v>7184.08</v>
      </c>
      <c r="G842" s="4" t="s">
        <v>74</v>
      </c>
      <c r="H842" s="4" t="s">
        <v>75</v>
      </c>
      <c r="I842" s="4"/>
      <c r="J842" s="4"/>
      <c r="K842" s="4">
        <v>204</v>
      </c>
      <c r="L842" s="4">
        <v>13</v>
      </c>
      <c r="M842" s="4">
        <v>3</v>
      </c>
      <c r="N842" s="4" t="s">
        <v>3</v>
      </c>
      <c r="O842" s="4">
        <v>2</v>
      </c>
      <c r="P842" s="4"/>
      <c r="Q842" s="4"/>
      <c r="R842" s="4"/>
      <c r="S842" s="4"/>
      <c r="T842" s="4"/>
      <c r="U842" s="4"/>
      <c r="V842" s="4"/>
      <c r="W842" s="4"/>
    </row>
    <row r="843" spans="1:23" x14ac:dyDescent="0.2">
      <c r="A843" s="4">
        <v>50</v>
      </c>
      <c r="B843" s="4">
        <v>0</v>
      </c>
      <c r="C843" s="4">
        <v>0</v>
      </c>
      <c r="D843" s="4">
        <v>1</v>
      </c>
      <c r="E843" s="4">
        <v>205</v>
      </c>
      <c r="F843" s="4">
        <f>ROUND(Source!S828,O843)</f>
        <v>19139.740000000002</v>
      </c>
      <c r="G843" s="4" t="s">
        <v>76</v>
      </c>
      <c r="H843" s="4" t="s">
        <v>77</v>
      </c>
      <c r="I843" s="4"/>
      <c r="J843" s="4"/>
      <c r="K843" s="4">
        <v>205</v>
      </c>
      <c r="L843" s="4">
        <v>14</v>
      </c>
      <c r="M843" s="4">
        <v>3</v>
      </c>
      <c r="N843" s="4" t="s">
        <v>3</v>
      </c>
      <c r="O843" s="4">
        <v>2</v>
      </c>
      <c r="P843" s="4"/>
      <c r="Q843" s="4"/>
      <c r="R843" s="4"/>
      <c r="S843" s="4"/>
      <c r="T843" s="4"/>
      <c r="U843" s="4"/>
      <c r="V843" s="4"/>
      <c r="W843" s="4"/>
    </row>
    <row r="844" spans="1:23" x14ac:dyDescent="0.2">
      <c r="A844" s="4">
        <v>50</v>
      </c>
      <c r="B844" s="4">
        <v>0</v>
      </c>
      <c r="C844" s="4">
        <v>0</v>
      </c>
      <c r="D844" s="4">
        <v>1</v>
      </c>
      <c r="E844" s="4">
        <v>232</v>
      </c>
      <c r="F844" s="4">
        <f>ROUND(Source!BC828,O844)</f>
        <v>0</v>
      </c>
      <c r="G844" s="4" t="s">
        <v>78</v>
      </c>
      <c r="H844" s="4" t="s">
        <v>79</v>
      </c>
      <c r="I844" s="4"/>
      <c r="J844" s="4"/>
      <c r="K844" s="4">
        <v>232</v>
      </c>
      <c r="L844" s="4">
        <v>15</v>
      </c>
      <c r="M844" s="4">
        <v>3</v>
      </c>
      <c r="N844" s="4" t="s">
        <v>3</v>
      </c>
      <c r="O844" s="4">
        <v>2</v>
      </c>
      <c r="P844" s="4"/>
      <c r="Q844" s="4"/>
      <c r="R844" s="4"/>
      <c r="S844" s="4"/>
      <c r="T844" s="4"/>
      <c r="U844" s="4"/>
      <c r="V844" s="4"/>
      <c r="W844" s="4"/>
    </row>
    <row r="845" spans="1:23" x14ac:dyDescent="0.2">
      <c r="A845" s="4">
        <v>50</v>
      </c>
      <c r="B845" s="4">
        <v>0</v>
      </c>
      <c r="C845" s="4">
        <v>0</v>
      </c>
      <c r="D845" s="4">
        <v>1</v>
      </c>
      <c r="E845" s="4">
        <v>214</v>
      </c>
      <c r="F845" s="4">
        <f>ROUND(Source!AS828,O845)</f>
        <v>0</v>
      </c>
      <c r="G845" s="4" t="s">
        <v>80</v>
      </c>
      <c r="H845" s="4" t="s">
        <v>81</v>
      </c>
      <c r="I845" s="4"/>
      <c r="J845" s="4"/>
      <c r="K845" s="4">
        <v>214</v>
      </c>
      <c r="L845" s="4">
        <v>16</v>
      </c>
      <c r="M845" s="4">
        <v>3</v>
      </c>
      <c r="N845" s="4" t="s">
        <v>3</v>
      </c>
      <c r="O845" s="4">
        <v>2</v>
      </c>
      <c r="P845" s="4"/>
      <c r="Q845" s="4"/>
      <c r="R845" s="4"/>
      <c r="S845" s="4"/>
      <c r="T845" s="4"/>
      <c r="U845" s="4"/>
      <c r="V845" s="4"/>
      <c r="W845" s="4"/>
    </row>
    <row r="846" spans="1:23" x14ac:dyDescent="0.2">
      <c r="A846" s="4">
        <v>50</v>
      </c>
      <c r="B846" s="4">
        <v>0</v>
      </c>
      <c r="C846" s="4">
        <v>0</v>
      </c>
      <c r="D846" s="4">
        <v>1</v>
      </c>
      <c r="E846" s="4">
        <v>215</v>
      </c>
      <c r="F846" s="4">
        <f>ROUND(Source!AT828,O846)</f>
        <v>0</v>
      </c>
      <c r="G846" s="4" t="s">
        <v>82</v>
      </c>
      <c r="H846" s="4" t="s">
        <v>83</v>
      </c>
      <c r="I846" s="4"/>
      <c r="J846" s="4"/>
      <c r="K846" s="4">
        <v>215</v>
      </c>
      <c r="L846" s="4">
        <v>17</v>
      </c>
      <c r="M846" s="4">
        <v>3</v>
      </c>
      <c r="N846" s="4" t="s">
        <v>3</v>
      </c>
      <c r="O846" s="4">
        <v>2</v>
      </c>
      <c r="P846" s="4"/>
      <c r="Q846" s="4"/>
      <c r="R846" s="4"/>
      <c r="S846" s="4"/>
      <c r="T846" s="4"/>
      <c r="U846" s="4"/>
      <c r="V846" s="4"/>
      <c r="W846" s="4"/>
    </row>
    <row r="847" spans="1:23" x14ac:dyDescent="0.2">
      <c r="A847" s="4">
        <v>50</v>
      </c>
      <c r="B847" s="4">
        <v>0</v>
      </c>
      <c r="C847" s="4">
        <v>0</v>
      </c>
      <c r="D847" s="4">
        <v>1</v>
      </c>
      <c r="E847" s="4">
        <v>217</v>
      </c>
      <c r="F847" s="4">
        <f>ROUND(Source!AU828,O847)</f>
        <v>436901.21</v>
      </c>
      <c r="G847" s="4" t="s">
        <v>84</v>
      </c>
      <c r="H847" s="4" t="s">
        <v>85</v>
      </c>
      <c r="I847" s="4"/>
      <c r="J847" s="4"/>
      <c r="K847" s="4">
        <v>217</v>
      </c>
      <c r="L847" s="4">
        <v>18</v>
      </c>
      <c r="M847" s="4">
        <v>3</v>
      </c>
      <c r="N847" s="4" t="s">
        <v>3</v>
      </c>
      <c r="O847" s="4">
        <v>2</v>
      </c>
      <c r="P847" s="4"/>
      <c r="Q847" s="4"/>
      <c r="R847" s="4"/>
      <c r="S847" s="4"/>
      <c r="T847" s="4"/>
      <c r="U847" s="4"/>
      <c r="V847" s="4"/>
      <c r="W847" s="4"/>
    </row>
    <row r="848" spans="1:23" x14ac:dyDescent="0.2">
      <c r="A848" s="4">
        <v>50</v>
      </c>
      <c r="B848" s="4">
        <v>0</v>
      </c>
      <c r="C848" s="4">
        <v>0</v>
      </c>
      <c r="D848" s="4">
        <v>1</v>
      </c>
      <c r="E848" s="4">
        <v>230</v>
      </c>
      <c r="F848" s="4">
        <f>ROUND(Source!BA828,O848)</f>
        <v>0</v>
      </c>
      <c r="G848" s="4" t="s">
        <v>86</v>
      </c>
      <c r="H848" s="4" t="s">
        <v>87</v>
      </c>
      <c r="I848" s="4"/>
      <c r="J848" s="4"/>
      <c r="K848" s="4">
        <v>230</v>
      </c>
      <c r="L848" s="4">
        <v>19</v>
      </c>
      <c r="M848" s="4">
        <v>3</v>
      </c>
      <c r="N848" s="4" t="s">
        <v>3</v>
      </c>
      <c r="O848" s="4">
        <v>2</v>
      </c>
      <c r="P848" s="4"/>
      <c r="Q848" s="4"/>
      <c r="R848" s="4"/>
      <c r="S848" s="4"/>
      <c r="T848" s="4"/>
      <c r="U848" s="4"/>
      <c r="V848" s="4"/>
      <c r="W848" s="4"/>
    </row>
    <row r="849" spans="1:206" x14ac:dyDescent="0.2">
      <c r="A849" s="4">
        <v>50</v>
      </c>
      <c r="B849" s="4">
        <v>0</v>
      </c>
      <c r="C849" s="4">
        <v>0</v>
      </c>
      <c r="D849" s="4">
        <v>1</v>
      </c>
      <c r="E849" s="4">
        <v>206</v>
      </c>
      <c r="F849" s="4">
        <f>ROUND(Source!T828,O849)</f>
        <v>0</v>
      </c>
      <c r="G849" s="4" t="s">
        <v>88</v>
      </c>
      <c r="H849" s="4" t="s">
        <v>89</v>
      </c>
      <c r="I849" s="4"/>
      <c r="J849" s="4"/>
      <c r="K849" s="4">
        <v>206</v>
      </c>
      <c r="L849" s="4">
        <v>20</v>
      </c>
      <c r="M849" s="4">
        <v>3</v>
      </c>
      <c r="N849" s="4" t="s">
        <v>3</v>
      </c>
      <c r="O849" s="4">
        <v>2</v>
      </c>
      <c r="P849" s="4"/>
      <c r="Q849" s="4"/>
      <c r="R849" s="4"/>
      <c r="S849" s="4"/>
      <c r="T849" s="4"/>
      <c r="U849" s="4"/>
      <c r="V849" s="4"/>
      <c r="W849" s="4"/>
    </row>
    <row r="850" spans="1:206" x14ac:dyDescent="0.2">
      <c r="A850" s="4">
        <v>50</v>
      </c>
      <c r="B850" s="4">
        <v>0</v>
      </c>
      <c r="C850" s="4">
        <v>0</v>
      </c>
      <c r="D850" s="4">
        <v>1</v>
      </c>
      <c r="E850" s="4">
        <v>207</v>
      </c>
      <c r="F850" s="4">
        <f>Source!U828</f>
        <v>86.6952</v>
      </c>
      <c r="G850" s="4" t="s">
        <v>90</v>
      </c>
      <c r="H850" s="4" t="s">
        <v>91</v>
      </c>
      <c r="I850" s="4"/>
      <c r="J850" s="4"/>
      <c r="K850" s="4">
        <v>207</v>
      </c>
      <c r="L850" s="4">
        <v>21</v>
      </c>
      <c r="M850" s="4">
        <v>3</v>
      </c>
      <c r="N850" s="4" t="s">
        <v>3</v>
      </c>
      <c r="O850" s="4">
        <v>-1</v>
      </c>
      <c r="P850" s="4"/>
      <c r="Q850" s="4"/>
      <c r="R850" s="4"/>
      <c r="S850" s="4"/>
      <c r="T850" s="4"/>
      <c r="U850" s="4"/>
      <c r="V850" s="4"/>
      <c r="W850" s="4"/>
    </row>
    <row r="851" spans="1:206" x14ac:dyDescent="0.2">
      <c r="A851" s="4">
        <v>50</v>
      </c>
      <c r="B851" s="4">
        <v>0</v>
      </c>
      <c r="C851" s="4">
        <v>0</v>
      </c>
      <c r="D851" s="4">
        <v>1</v>
      </c>
      <c r="E851" s="4">
        <v>208</v>
      </c>
      <c r="F851" s="4">
        <f>Source!V828</f>
        <v>0</v>
      </c>
      <c r="G851" s="4" t="s">
        <v>92</v>
      </c>
      <c r="H851" s="4" t="s">
        <v>93</v>
      </c>
      <c r="I851" s="4"/>
      <c r="J851" s="4"/>
      <c r="K851" s="4">
        <v>208</v>
      </c>
      <c r="L851" s="4">
        <v>22</v>
      </c>
      <c r="M851" s="4">
        <v>3</v>
      </c>
      <c r="N851" s="4" t="s">
        <v>3</v>
      </c>
      <c r="O851" s="4">
        <v>-1</v>
      </c>
      <c r="P851" s="4"/>
      <c r="Q851" s="4"/>
      <c r="R851" s="4"/>
      <c r="S851" s="4"/>
      <c r="T851" s="4"/>
      <c r="U851" s="4"/>
      <c r="V851" s="4"/>
      <c r="W851" s="4"/>
    </row>
    <row r="852" spans="1:206" x14ac:dyDescent="0.2">
      <c r="A852" s="4">
        <v>50</v>
      </c>
      <c r="B852" s="4">
        <v>0</v>
      </c>
      <c r="C852" s="4">
        <v>0</v>
      </c>
      <c r="D852" s="4">
        <v>1</v>
      </c>
      <c r="E852" s="4">
        <v>209</v>
      </c>
      <c r="F852" s="4">
        <f>ROUND(Source!W828,O852)</f>
        <v>0</v>
      </c>
      <c r="G852" s="4" t="s">
        <v>94</v>
      </c>
      <c r="H852" s="4" t="s">
        <v>95</v>
      </c>
      <c r="I852" s="4"/>
      <c r="J852" s="4"/>
      <c r="K852" s="4">
        <v>209</v>
      </c>
      <c r="L852" s="4">
        <v>23</v>
      </c>
      <c r="M852" s="4">
        <v>3</v>
      </c>
      <c r="N852" s="4" t="s">
        <v>3</v>
      </c>
      <c r="O852" s="4">
        <v>2</v>
      </c>
      <c r="P852" s="4"/>
      <c r="Q852" s="4"/>
      <c r="R852" s="4"/>
      <c r="S852" s="4"/>
      <c r="T852" s="4"/>
      <c r="U852" s="4"/>
      <c r="V852" s="4"/>
      <c r="W852" s="4"/>
    </row>
    <row r="853" spans="1:206" x14ac:dyDescent="0.2">
      <c r="A853" s="4">
        <v>50</v>
      </c>
      <c r="B853" s="4">
        <v>0</v>
      </c>
      <c r="C853" s="4">
        <v>0</v>
      </c>
      <c r="D853" s="4">
        <v>1</v>
      </c>
      <c r="E853" s="4">
        <v>233</v>
      </c>
      <c r="F853" s="4">
        <f>ROUND(Source!BD828,O853)</f>
        <v>0</v>
      </c>
      <c r="G853" s="4" t="s">
        <v>96</v>
      </c>
      <c r="H853" s="4" t="s">
        <v>97</v>
      </c>
      <c r="I853" s="4"/>
      <c r="J853" s="4"/>
      <c r="K853" s="4">
        <v>233</v>
      </c>
      <c r="L853" s="4">
        <v>24</v>
      </c>
      <c r="M853" s="4">
        <v>3</v>
      </c>
      <c r="N853" s="4" t="s">
        <v>3</v>
      </c>
      <c r="O853" s="4">
        <v>2</v>
      </c>
      <c r="P853" s="4"/>
      <c r="Q853" s="4"/>
      <c r="R853" s="4"/>
      <c r="S853" s="4"/>
      <c r="T853" s="4"/>
      <c r="U853" s="4"/>
      <c r="V853" s="4"/>
      <c r="W853" s="4"/>
    </row>
    <row r="854" spans="1:206" x14ac:dyDescent="0.2">
      <c r="A854" s="4">
        <v>50</v>
      </c>
      <c r="B854" s="4">
        <v>0</v>
      </c>
      <c r="C854" s="4">
        <v>0</v>
      </c>
      <c r="D854" s="4">
        <v>1</v>
      </c>
      <c r="E854" s="4">
        <v>210</v>
      </c>
      <c r="F854" s="4">
        <f>ROUND(Source!X828,O854)</f>
        <v>13397.82</v>
      </c>
      <c r="G854" s="4" t="s">
        <v>98</v>
      </c>
      <c r="H854" s="4" t="s">
        <v>99</v>
      </c>
      <c r="I854" s="4"/>
      <c r="J854" s="4"/>
      <c r="K854" s="4">
        <v>210</v>
      </c>
      <c r="L854" s="4">
        <v>25</v>
      </c>
      <c r="M854" s="4">
        <v>3</v>
      </c>
      <c r="N854" s="4" t="s">
        <v>3</v>
      </c>
      <c r="O854" s="4">
        <v>2</v>
      </c>
      <c r="P854" s="4"/>
      <c r="Q854" s="4"/>
      <c r="R854" s="4"/>
      <c r="S854" s="4"/>
      <c r="T854" s="4"/>
      <c r="U854" s="4"/>
      <c r="V854" s="4"/>
      <c r="W854" s="4"/>
    </row>
    <row r="855" spans="1:206" x14ac:dyDescent="0.2">
      <c r="A855" s="4">
        <v>50</v>
      </c>
      <c r="B855" s="4">
        <v>0</v>
      </c>
      <c r="C855" s="4">
        <v>0</v>
      </c>
      <c r="D855" s="4">
        <v>1</v>
      </c>
      <c r="E855" s="4">
        <v>211</v>
      </c>
      <c r="F855" s="4">
        <f>ROUND(Source!Y828,O855)</f>
        <v>1913.98</v>
      </c>
      <c r="G855" s="4" t="s">
        <v>100</v>
      </c>
      <c r="H855" s="4" t="s">
        <v>101</v>
      </c>
      <c r="I855" s="4"/>
      <c r="J855" s="4"/>
      <c r="K855" s="4">
        <v>211</v>
      </c>
      <c r="L855" s="4">
        <v>26</v>
      </c>
      <c r="M855" s="4">
        <v>3</v>
      </c>
      <c r="N855" s="4" t="s">
        <v>3</v>
      </c>
      <c r="O855" s="4">
        <v>2</v>
      </c>
      <c r="P855" s="4"/>
      <c r="Q855" s="4"/>
      <c r="R855" s="4"/>
      <c r="S855" s="4"/>
      <c r="T855" s="4"/>
      <c r="U855" s="4"/>
      <c r="V855" s="4"/>
      <c r="W855" s="4"/>
    </row>
    <row r="856" spans="1:206" x14ac:dyDescent="0.2">
      <c r="A856" s="4">
        <v>50</v>
      </c>
      <c r="B856" s="4">
        <v>0</v>
      </c>
      <c r="C856" s="4">
        <v>0</v>
      </c>
      <c r="D856" s="4">
        <v>1</v>
      </c>
      <c r="E856" s="4">
        <v>224</v>
      </c>
      <c r="F856" s="4">
        <f>ROUND(Source!AR828,O856)</f>
        <v>436901.21</v>
      </c>
      <c r="G856" s="4" t="s">
        <v>102</v>
      </c>
      <c r="H856" s="4" t="s">
        <v>103</v>
      </c>
      <c r="I856" s="4"/>
      <c r="J856" s="4"/>
      <c r="K856" s="4">
        <v>224</v>
      </c>
      <c r="L856" s="4">
        <v>27</v>
      </c>
      <c r="M856" s="4">
        <v>3</v>
      </c>
      <c r="N856" s="4" t="s">
        <v>3</v>
      </c>
      <c r="O856" s="4">
        <v>2</v>
      </c>
      <c r="P856" s="4"/>
      <c r="Q856" s="4"/>
      <c r="R856" s="4"/>
      <c r="S856" s="4"/>
      <c r="T856" s="4"/>
      <c r="U856" s="4"/>
      <c r="V856" s="4"/>
      <c r="W856" s="4"/>
    </row>
    <row r="858" spans="1:206" x14ac:dyDescent="0.2">
      <c r="A858" s="2">
        <v>51</v>
      </c>
      <c r="B858" s="2">
        <f>B815</f>
        <v>1</v>
      </c>
      <c r="C858" s="2">
        <f>A815</f>
        <v>4</v>
      </c>
      <c r="D858" s="2">
        <f>ROW(A815)</f>
        <v>815</v>
      </c>
      <c r="E858" s="2"/>
      <c r="F858" s="2" t="str">
        <f>IF(F815&lt;&gt;"",F815,"")</f>
        <v>Новый раздел</v>
      </c>
      <c r="G858" s="2" t="str">
        <f>IF(G815&lt;&gt;"",G815,"")</f>
        <v>Асфальт и борткамень</v>
      </c>
      <c r="H858" s="2">
        <v>0</v>
      </c>
      <c r="I858" s="2"/>
      <c r="J858" s="2"/>
      <c r="K858" s="2"/>
      <c r="L858" s="2"/>
      <c r="M858" s="2"/>
      <c r="N858" s="2"/>
      <c r="O858" s="2">
        <f t="shared" ref="O858:T858" si="392">ROUND(O828+AB858,2)</f>
        <v>413830.6</v>
      </c>
      <c r="P858" s="2">
        <f t="shared" si="392"/>
        <v>385508.43</v>
      </c>
      <c r="Q858" s="2">
        <f t="shared" si="392"/>
        <v>9182.43</v>
      </c>
      <c r="R858" s="2">
        <f t="shared" si="392"/>
        <v>7184.08</v>
      </c>
      <c r="S858" s="2">
        <f t="shared" si="392"/>
        <v>19139.740000000002</v>
      </c>
      <c r="T858" s="2">
        <f t="shared" si="392"/>
        <v>0</v>
      </c>
      <c r="U858" s="2">
        <f>U828+AH858</f>
        <v>86.6952</v>
      </c>
      <c r="V858" s="2">
        <f>V828+AI858</f>
        <v>0</v>
      </c>
      <c r="W858" s="2">
        <f>ROUND(W828+AJ858,2)</f>
        <v>0</v>
      </c>
      <c r="X858" s="2">
        <f>ROUND(X828+AK858,2)</f>
        <v>13397.82</v>
      </c>
      <c r="Y858" s="2">
        <f>ROUND(Y828+AL858,2)</f>
        <v>1913.98</v>
      </c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>
        <f t="shared" ref="AO858:BD858" si="393">ROUND(AO828+BX858,2)</f>
        <v>0</v>
      </c>
      <c r="AP858" s="2">
        <f t="shared" si="393"/>
        <v>0</v>
      </c>
      <c r="AQ858" s="2">
        <f t="shared" si="393"/>
        <v>0</v>
      </c>
      <c r="AR858" s="2">
        <f t="shared" si="393"/>
        <v>436901.21</v>
      </c>
      <c r="AS858" s="2">
        <f t="shared" si="393"/>
        <v>0</v>
      </c>
      <c r="AT858" s="2">
        <f t="shared" si="393"/>
        <v>0</v>
      </c>
      <c r="AU858" s="2">
        <f t="shared" si="393"/>
        <v>436901.21</v>
      </c>
      <c r="AV858" s="2">
        <f t="shared" si="393"/>
        <v>385508.43</v>
      </c>
      <c r="AW858" s="2">
        <f t="shared" si="393"/>
        <v>385508.43</v>
      </c>
      <c r="AX858" s="2">
        <f t="shared" si="393"/>
        <v>0</v>
      </c>
      <c r="AY858" s="2">
        <f t="shared" si="393"/>
        <v>385508.43</v>
      </c>
      <c r="AZ858" s="2">
        <f t="shared" si="393"/>
        <v>0</v>
      </c>
      <c r="BA858" s="2">
        <f t="shared" si="393"/>
        <v>0</v>
      </c>
      <c r="BB858" s="2">
        <f t="shared" si="393"/>
        <v>0</v>
      </c>
      <c r="BC858" s="2">
        <f t="shared" si="393"/>
        <v>0</v>
      </c>
      <c r="BD858" s="2">
        <f t="shared" si="393"/>
        <v>0</v>
      </c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3"/>
      <c r="DH858" s="3"/>
      <c r="DI858" s="3"/>
      <c r="DJ858" s="3"/>
      <c r="DK858" s="3"/>
      <c r="DL858" s="3"/>
      <c r="DM858" s="3"/>
      <c r="DN858" s="3"/>
      <c r="DO858" s="3"/>
      <c r="DP858" s="3"/>
      <c r="DQ858" s="3"/>
      <c r="DR858" s="3"/>
      <c r="DS858" s="3"/>
      <c r="DT858" s="3"/>
      <c r="DU858" s="3"/>
      <c r="DV858" s="3"/>
      <c r="DW858" s="3"/>
      <c r="DX858" s="3"/>
      <c r="DY858" s="3"/>
      <c r="DZ858" s="3"/>
      <c r="EA858" s="3"/>
      <c r="EB858" s="3"/>
      <c r="EC858" s="3"/>
      <c r="ED858" s="3"/>
      <c r="EE858" s="3"/>
      <c r="EF858" s="3"/>
      <c r="EG858" s="3"/>
      <c r="EH858" s="3"/>
      <c r="EI858" s="3"/>
      <c r="EJ858" s="3"/>
      <c r="EK858" s="3"/>
      <c r="EL858" s="3"/>
      <c r="EM858" s="3"/>
      <c r="EN858" s="3"/>
      <c r="EO858" s="3"/>
      <c r="EP858" s="3"/>
      <c r="EQ858" s="3"/>
      <c r="ER858" s="3"/>
      <c r="ES858" s="3"/>
      <c r="ET858" s="3"/>
      <c r="EU858" s="3"/>
      <c r="EV858" s="3"/>
      <c r="EW858" s="3"/>
      <c r="EX858" s="3"/>
      <c r="EY858" s="3"/>
      <c r="EZ858" s="3"/>
      <c r="FA858" s="3"/>
      <c r="FB858" s="3"/>
      <c r="FC858" s="3"/>
      <c r="FD858" s="3"/>
      <c r="FE858" s="3"/>
      <c r="FF858" s="3"/>
      <c r="FG858" s="3"/>
      <c r="FH858" s="3"/>
      <c r="FI858" s="3"/>
      <c r="FJ858" s="3"/>
      <c r="FK858" s="3"/>
      <c r="FL858" s="3"/>
      <c r="FM858" s="3"/>
      <c r="FN858" s="3"/>
      <c r="FO858" s="3"/>
      <c r="FP858" s="3"/>
      <c r="FQ858" s="3"/>
      <c r="FR858" s="3"/>
      <c r="FS858" s="3"/>
      <c r="FT858" s="3"/>
      <c r="FU858" s="3"/>
      <c r="FV858" s="3"/>
      <c r="FW858" s="3"/>
      <c r="FX858" s="3"/>
      <c r="FY858" s="3"/>
      <c r="FZ858" s="3"/>
      <c r="GA858" s="3"/>
      <c r="GB858" s="3"/>
      <c r="GC858" s="3"/>
      <c r="GD858" s="3"/>
      <c r="GE858" s="3"/>
      <c r="GF858" s="3"/>
      <c r="GG858" s="3"/>
      <c r="GH858" s="3"/>
      <c r="GI858" s="3"/>
      <c r="GJ858" s="3"/>
      <c r="GK858" s="3"/>
      <c r="GL858" s="3"/>
      <c r="GM858" s="3"/>
      <c r="GN858" s="3"/>
      <c r="GO858" s="3"/>
      <c r="GP858" s="3"/>
      <c r="GQ858" s="3"/>
      <c r="GR858" s="3"/>
      <c r="GS858" s="3"/>
      <c r="GT858" s="3"/>
      <c r="GU858" s="3"/>
      <c r="GV858" s="3"/>
      <c r="GW858" s="3"/>
      <c r="GX858" s="3">
        <v>0</v>
      </c>
    </row>
    <row r="860" spans="1:206" x14ac:dyDescent="0.2">
      <c r="A860" s="4">
        <v>50</v>
      </c>
      <c r="B860" s="4">
        <v>0</v>
      </c>
      <c r="C860" s="4">
        <v>0</v>
      </c>
      <c r="D860" s="4">
        <v>1</v>
      </c>
      <c r="E860" s="4">
        <v>201</v>
      </c>
      <c r="F860" s="4">
        <f>ROUND(Source!O858,O860)</f>
        <v>413830.6</v>
      </c>
      <c r="G860" s="4" t="s">
        <v>50</v>
      </c>
      <c r="H860" s="4" t="s">
        <v>51</v>
      </c>
      <c r="I860" s="4"/>
      <c r="J860" s="4"/>
      <c r="K860" s="4">
        <v>201</v>
      </c>
      <c r="L860" s="4">
        <v>1</v>
      </c>
      <c r="M860" s="4">
        <v>3</v>
      </c>
      <c r="N860" s="4" t="s">
        <v>3</v>
      </c>
      <c r="O860" s="4">
        <v>2</v>
      </c>
      <c r="P860" s="4"/>
      <c r="Q860" s="4"/>
      <c r="R860" s="4"/>
      <c r="S860" s="4"/>
      <c r="T860" s="4"/>
      <c r="U860" s="4"/>
      <c r="V860" s="4"/>
      <c r="W860" s="4"/>
    </row>
    <row r="861" spans="1:206" x14ac:dyDescent="0.2">
      <c r="A861" s="4">
        <v>50</v>
      </c>
      <c r="B861" s="4">
        <v>0</v>
      </c>
      <c r="C861" s="4">
        <v>0</v>
      </c>
      <c r="D861" s="4">
        <v>1</v>
      </c>
      <c r="E861" s="4">
        <v>202</v>
      </c>
      <c r="F861" s="4">
        <f>ROUND(Source!P858,O861)</f>
        <v>385508.43</v>
      </c>
      <c r="G861" s="4" t="s">
        <v>52</v>
      </c>
      <c r="H861" s="4" t="s">
        <v>53</v>
      </c>
      <c r="I861" s="4"/>
      <c r="J861" s="4"/>
      <c r="K861" s="4">
        <v>202</v>
      </c>
      <c r="L861" s="4">
        <v>2</v>
      </c>
      <c r="M861" s="4">
        <v>3</v>
      </c>
      <c r="N861" s="4" t="s">
        <v>3</v>
      </c>
      <c r="O861" s="4">
        <v>2</v>
      </c>
      <c r="P861" s="4"/>
      <c r="Q861" s="4"/>
      <c r="R861" s="4"/>
      <c r="S861" s="4"/>
      <c r="T861" s="4"/>
      <c r="U861" s="4"/>
      <c r="V861" s="4"/>
      <c r="W861" s="4"/>
    </row>
    <row r="862" spans="1:206" x14ac:dyDescent="0.2">
      <c r="A862" s="4">
        <v>50</v>
      </c>
      <c r="B862" s="4">
        <v>0</v>
      </c>
      <c r="C862" s="4">
        <v>0</v>
      </c>
      <c r="D862" s="4">
        <v>1</v>
      </c>
      <c r="E862" s="4">
        <v>222</v>
      </c>
      <c r="F862" s="4">
        <f>ROUND(Source!AO858,O862)</f>
        <v>0</v>
      </c>
      <c r="G862" s="4" t="s">
        <v>54</v>
      </c>
      <c r="H862" s="4" t="s">
        <v>55</v>
      </c>
      <c r="I862" s="4"/>
      <c r="J862" s="4"/>
      <c r="K862" s="4">
        <v>222</v>
      </c>
      <c r="L862" s="4">
        <v>3</v>
      </c>
      <c r="M862" s="4">
        <v>3</v>
      </c>
      <c r="N862" s="4" t="s">
        <v>3</v>
      </c>
      <c r="O862" s="4">
        <v>2</v>
      </c>
      <c r="P862" s="4"/>
      <c r="Q862" s="4"/>
      <c r="R862" s="4"/>
      <c r="S862" s="4"/>
      <c r="T862" s="4"/>
      <c r="U862" s="4"/>
      <c r="V862" s="4"/>
      <c r="W862" s="4"/>
    </row>
    <row r="863" spans="1:206" x14ac:dyDescent="0.2">
      <c r="A863" s="4">
        <v>50</v>
      </c>
      <c r="B863" s="4">
        <v>0</v>
      </c>
      <c r="C863" s="4">
        <v>0</v>
      </c>
      <c r="D863" s="4">
        <v>1</v>
      </c>
      <c r="E863" s="4">
        <v>225</v>
      </c>
      <c r="F863" s="4">
        <f>ROUND(Source!AV858,O863)</f>
        <v>385508.43</v>
      </c>
      <c r="G863" s="4" t="s">
        <v>56</v>
      </c>
      <c r="H863" s="4" t="s">
        <v>57</v>
      </c>
      <c r="I863" s="4"/>
      <c r="J863" s="4"/>
      <c r="K863" s="4">
        <v>225</v>
      </c>
      <c r="L863" s="4">
        <v>4</v>
      </c>
      <c r="M863" s="4">
        <v>3</v>
      </c>
      <c r="N863" s="4" t="s">
        <v>3</v>
      </c>
      <c r="O863" s="4">
        <v>2</v>
      </c>
      <c r="P863" s="4"/>
      <c r="Q863" s="4"/>
      <c r="R863" s="4"/>
      <c r="S863" s="4"/>
      <c r="T863" s="4"/>
      <c r="U863" s="4"/>
      <c r="V863" s="4"/>
      <c r="W863" s="4"/>
    </row>
    <row r="864" spans="1:206" x14ac:dyDescent="0.2">
      <c r="A864" s="4">
        <v>50</v>
      </c>
      <c r="B864" s="4">
        <v>0</v>
      </c>
      <c r="C864" s="4">
        <v>0</v>
      </c>
      <c r="D864" s="4">
        <v>1</v>
      </c>
      <c r="E864" s="4">
        <v>226</v>
      </c>
      <c r="F864" s="4">
        <f>ROUND(Source!AW858,O864)</f>
        <v>385508.43</v>
      </c>
      <c r="G864" s="4" t="s">
        <v>58</v>
      </c>
      <c r="H864" s="4" t="s">
        <v>59</v>
      </c>
      <c r="I864" s="4"/>
      <c r="J864" s="4"/>
      <c r="K864" s="4">
        <v>226</v>
      </c>
      <c r="L864" s="4">
        <v>5</v>
      </c>
      <c r="M864" s="4">
        <v>3</v>
      </c>
      <c r="N864" s="4" t="s">
        <v>3</v>
      </c>
      <c r="O864" s="4">
        <v>2</v>
      </c>
      <c r="P864" s="4"/>
      <c r="Q864" s="4"/>
      <c r="R864" s="4"/>
      <c r="S864" s="4"/>
      <c r="T864" s="4"/>
      <c r="U864" s="4"/>
      <c r="V864" s="4"/>
      <c r="W864" s="4"/>
    </row>
    <row r="865" spans="1:23" x14ac:dyDescent="0.2">
      <c r="A865" s="4">
        <v>50</v>
      </c>
      <c r="B865" s="4">
        <v>0</v>
      </c>
      <c r="C865" s="4">
        <v>0</v>
      </c>
      <c r="D865" s="4">
        <v>1</v>
      </c>
      <c r="E865" s="4">
        <v>227</v>
      </c>
      <c r="F865" s="4">
        <f>ROUND(Source!AX858,O865)</f>
        <v>0</v>
      </c>
      <c r="G865" s="4" t="s">
        <v>60</v>
      </c>
      <c r="H865" s="4" t="s">
        <v>61</v>
      </c>
      <c r="I865" s="4"/>
      <c r="J865" s="4"/>
      <c r="K865" s="4">
        <v>227</v>
      </c>
      <c r="L865" s="4">
        <v>6</v>
      </c>
      <c r="M865" s="4">
        <v>3</v>
      </c>
      <c r="N865" s="4" t="s">
        <v>3</v>
      </c>
      <c r="O865" s="4">
        <v>2</v>
      </c>
      <c r="P865" s="4"/>
      <c r="Q865" s="4"/>
      <c r="R865" s="4"/>
      <c r="S865" s="4"/>
      <c r="T865" s="4"/>
      <c r="U865" s="4"/>
      <c r="V865" s="4"/>
      <c r="W865" s="4"/>
    </row>
    <row r="866" spans="1:23" x14ac:dyDescent="0.2">
      <c r="A866" s="4">
        <v>50</v>
      </c>
      <c r="B866" s="4">
        <v>0</v>
      </c>
      <c r="C866" s="4">
        <v>0</v>
      </c>
      <c r="D866" s="4">
        <v>1</v>
      </c>
      <c r="E866" s="4">
        <v>228</v>
      </c>
      <c r="F866" s="4">
        <f>ROUND(Source!AY858,O866)</f>
        <v>385508.43</v>
      </c>
      <c r="G866" s="4" t="s">
        <v>62</v>
      </c>
      <c r="H866" s="4" t="s">
        <v>63</v>
      </c>
      <c r="I866" s="4"/>
      <c r="J866" s="4"/>
      <c r="K866" s="4">
        <v>228</v>
      </c>
      <c r="L866" s="4">
        <v>7</v>
      </c>
      <c r="M866" s="4">
        <v>3</v>
      </c>
      <c r="N866" s="4" t="s">
        <v>3</v>
      </c>
      <c r="O866" s="4">
        <v>2</v>
      </c>
      <c r="P866" s="4"/>
      <c r="Q866" s="4"/>
      <c r="R866" s="4"/>
      <c r="S866" s="4"/>
      <c r="T866" s="4"/>
      <c r="U866" s="4"/>
      <c r="V866" s="4"/>
      <c r="W866" s="4"/>
    </row>
    <row r="867" spans="1:23" x14ac:dyDescent="0.2">
      <c r="A867" s="4">
        <v>50</v>
      </c>
      <c r="B867" s="4">
        <v>0</v>
      </c>
      <c r="C867" s="4">
        <v>0</v>
      </c>
      <c r="D867" s="4">
        <v>1</v>
      </c>
      <c r="E867" s="4">
        <v>216</v>
      </c>
      <c r="F867" s="4">
        <f>ROUND(Source!AP858,O867)</f>
        <v>0</v>
      </c>
      <c r="G867" s="4" t="s">
        <v>64</v>
      </c>
      <c r="H867" s="4" t="s">
        <v>65</v>
      </c>
      <c r="I867" s="4"/>
      <c r="J867" s="4"/>
      <c r="K867" s="4">
        <v>216</v>
      </c>
      <c r="L867" s="4">
        <v>8</v>
      </c>
      <c r="M867" s="4">
        <v>3</v>
      </c>
      <c r="N867" s="4" t="s">
        <v>3</v>
      </c>
      <c r="O867" s="4">
        <v>2</v>
      </c>
      <c r="P867" s="4"/>
      <c r="Q867" s="4"/>
      <c r="R867" s="4"/>
      <c r="S867" s="4"/>
      <c r="T867" s="4"/>
      <c r="U867" s="4"/>
      <c r="V867" s="4"/>
      <c r="W867" s="4"/>
    </row>
    <row r="868" spans="1:23" x14ac:dyDescent="0.2">
      <c r="A868" s="4">
        <v>50</v>
      </c>
      <c r="B868" s="4">
        <v>0</v>
      </c>
      <c r="C868" s="4">
        <v>0</v>
      </c>
      <c r="D868" s="4">
        <v>1</v>
      </c>
      <c r="E868" s="4">
        <v>223</v>
      </c>
      <c r="F868" s="4">
        <f>ROUND(Source!AQ858,O868)</f>
        <v>0</v>
      </c>
      <c r="G868" s="4" t="s">
        <v>66</v>
      </c>
      <c r="H868" s="4" t="s">
        <v>67</v>
      </c>
      <c r="I868" s="4"/>
      <c r="J868" s="4"/>
      <c r="K868" s="4">
        <v>223</v>
      </c>
      <c r="L868" s="4">
        <v>9</v>
      </c>
      <c r="M868" s="4">
        <v>3</v>
      </c>
      <c r="N868" s="4" t="s">
        <v>3</v>
      </c>
      <c r="O868" s="4">
        <v>2</v>
      </c>
      <c r="P868" s="4"/>
      <c r="Q868" s="4"/>
      <c r="R868" s="4"/>
      <c r="S868" s="4"/>
      <c r="T868" s="4"/>
      <c r="U868" s="4"/>
      <c r="V868" s="4"/>
      <c r="W868" s="4"/>
    </row>
    <row r="869" spans="1:23" x14ac:dyDescent="0.2">
      <c r="A869" s="4">
        <v>50</v>
      </c>
      <c r="B869" s="4">
        <v>0</v>
      </c>
      <c r="C869" s="4">
        <v>0</v>
      </c>
      <c r="D869" s="4">
        <v>1</v>
      </c>
      <c r="E869" s="4">
        <v>229</v>
      </c>
      <c r="F869" s="4">
        <f>ROUND(Source!AZ858,O869)</f>
        <v>0</v>
      </c>
      <c r="G869" s="4" t="s">
        <v>68</v>
      </c>
      <c r="H869" s="4" t="s">
        <v>69</v>
      </c>
      <c r="I869" s="4"/>
      <c r="J869" s="4"/>
      <c r="K869" s="4">
        <v>229</v>
      </c>
      <c r="L869" s="4">
        <v>10</v>
      </c>
      <c r="M869" s="4">
        <v>3</v>
      </c>
      <c r="N869" s="4" t="s">
        <v>3</v>
      </c>
      <c r="O869" s="4">
        <v>2</v>
      </c>
      <c r="P869" s="4"/>
      <c r="Q869" s="4"/>
      <c r="R869" s="4"/>
      <c r="S869" s="4"/>
      <c r="T869" s="4"/>
      <c r="U869" s="4"/>
      <c r="V869" s="4"/>
      <c r="W869" s="4"/>
    </row>
    <row r="870" spans="1:23" x14ac:dyDescent="0.2">
      <c r="A870" s="4">
        <v>50</v>
      </c>
      <c r="B870" s="4">
        <v>0</v>
      </c>
      <c r="C870" s="4">
        <v>0</v>
      </c>
      <c r="D870" s="4">
        <v>1</v>
      </c>
      <c r="E870" s="4">
        <v>203</v>
      </c>
      <c r="F870" s="4">
        <f>ROUND(Source!Q858,O870)</f>
        <v>9182.43</v>
      </c>
      <c r="G870" s="4" t="s">
        <v>70</v>
      </c>
      <c r="H870" s="4" t="s">
        <v>71</v>
      </c>
      <c r="I870" s="4"/>
      <c r="J870" s="4"/>
      <c r="K870" s="4">
        <v>203</v>
      </c>
      <c r="L870" s="4">
        <v>11</v>
      </c>
      <c r="M870" s="4">
        <v>3</v>
      </c>
      <c r="N870" s="4" t="s">
        <v>3</v>
      </c>
      <c r="O870" s="4">
        <v>2</v>
      </c>
      <c r="P870" s="4"/>
      <c r="Q870" s="4"/>
      <c r="R870" s="4"/>
      <c r="S870" s="4"/>
      <c r="T870" s="4"/>
      <c r="U870" s="4"/>
      <c r="V870" s="4"/>
      <c r="W870" s="4"/>
    </row>
    <row r="871" spans="1:23" x14ac:dyDescent="0.2">
      <c r="A871" s="4">
        <v>50</v>
      </c>
      <c r="B871" s="4">
        <v>0</v>
      </c>
      <c r="C871" s="4">
        <v>0</v>
      </c>
      <c r="D871" s="4">
        <v>1</v>
      </c>
      <c r="E871" s="4">
        <v>231</v>
      </c>
      <c r="F871" s="4">
        <f>ROUND(Source!BB858,O871)</f>
        <v>0</v>
      </c>
      <c r="G871" s="4" t="s">
        <v>72</v>
      </c>
      <c r="H871" s="4" t="s">
        <v>73</v>
      </c>
      <c r="I871" s="4"/>
      <c r="J871" s="4"/>
      <c r="K871" s="4">
        <v>231</v>
      </c>
      <c r="L871" s="4">
        <v>12</v>
      </c>
      <c r="M871" s="4">
        <v>3</v>
      </c>
      <c r="N871" s="4" t="s">
        <v>3</v>
      </c>
      <c r="O871" s="4">
        <v>2</v>
      </c>
      <c r="P871" s="4"/>
      <c r="Q871" s="4"/>
      <c r="R871" s="4"/>
      <c r="S871" s="4"/>
      <c r="T871" s="4"/>
      <c r="U871" s="4"/>
      <c r="V871" s="4"/>
      <c r="W871" s="4"/>
    </row>
    <row r="872" spans="1:23" x14ac:dyDescent="0.2">
      <c r="A872" s="4">
        <v>50</v>
      </c>
      <c r="B872" s="4">
        <v>0</v>
      </c>
      <c r="C872" s="4">
        <v>0</v>
      </c>
      <c r="D872" s="4">
        <v>1</v>
      </c>
      <c r="E872" s="4">
        <v>204</v>
      </c>
      <c r="F872" s="4">
        <f>ROUND(Source!R858,O872)</f>
        <v>7184.08</v>
      </c>
      <c r="G872" s="4" t="s">
        <v>74</v>
      </c>
      <c r="H872" s="4" t="s">
        <v>75</v>
      </c>
      <c r="I872" s="4"/>
      <c r="J872" s="4"/>
      <c r="K872" s="4">
        <v>204</v>
      </c>
      <c r="L872" s="4">
        <v>13</v>
      </c>
      <c r="M872" s="4">
        <v>3</v>
      </c>
      <c r="N872" s="4" t="s">
        <v>3</v>
      </c>
      <c r="O872" s="4">
        <v>2</v>
      </c>
      <c r="P872" s="4"/>
      <c r="Q872" s="4"/>
      <c r="R872" s="4"/>
      <c r="S872" s="4"/>
      <c r="T872" s="4"/>
      <c r="U872" s="4"/>
      <c r="V872" s="4"/>
      <c r="W872" s="4"/>
    </row>
    <row r="873" spans="1:23" x14ac:dyDescent="0.2">
      <c r="A873" s="4">
        <v>50</v>
      </c>
      <c r="B873" s="4">
        <v>0</v>
      </c>
      <c r="C873" s="4">
        <v>0</v>
      </c>
      <c r="D873" s="4">
        <v>1</v>
      </c>
      <c r="E873" s="4">
        <v>205</v>
      </c>
      <c r="F873" s="4">
        <f>ROUND(Source!S858,O873)</f>
        <v>19139.740000000002</v>
      </c>
      <c r="G873" s="4" t="s">
        <v>76</v>
      </c>
      <c r="H873" s="4" t="s">
        <v>77</v>
      </c>
      <c r="I873" s="4"/>
      <c r="J873" s="4"/>
      <c r="K873" s="4">
        <v>205</v>
      </c>
      <c r="L873" s="4">
        <v>14</v>
      </c>
      <c r="M873" s="4">
        <v>3</v>
      </c>
      <c r="N873" s="4" t="s">
        <v>3</v>
      </c>
      <c r="O873" s="4">
        <v>2</v>
      </c>
      <c r="P873" s="4"/>
      <c r="Q873" s="4"/>
      <c r="R873" s="4"/>
      <c r="S873" s="4"/>
      <c r="T873" s="4"/>
      <c r="U873" s="4"/>
      <c r="V873" s="4"/>
      <c r="W873" s="4"/>
    </row>
    <row r="874" spans="1:23" x14ac:dyDescent="0.2">
      <c r="A874" s="4">
        <v>50</v>
      </c>
      <c r="B874" s="4">
        <v>0</v>
      </c>
      <c r="C874" s="4">
        <v>0</v>
      </c>
      <c r="D874" s="4">
        <v>1</v>
      </c>
      <c r="E874" s="4">
        <v>232</v>
      </c>
      <c r="F874" s="4">
        <f>ROUND(Source!BC858,O874)</f>
        <v>0</v>
      </c>
      <c r="G874" s="4" t="s">
        <v>78</v>
      </c>
      <c r="H874" s="4" t="s">
        <v>79</v>
      </c>
      <c r="I874" s="4"/>
      <c r="J874" s="4"/>
      <c r="K874" s="4">
        <v>232</v>
      </c>
      <c r="L874" s="4">
        <v>15</v>
      </c>
      <c r="M874" s="4">
        <v>3</v>
      </c>
      <c r="N874" s="4" t="s">
        <v>3</v>
      </c>
      <c r="O874" s="4">
        <v>2</v>
      </c>
      <c r="P874" s="4"/>
      <c r="Q874" s="4"/>
      <c r="R874" s="4"/>
      <c r="S874" s="4"/>
      <c r="T874" s="4"/>
      <c r="U874" s="4"/>
      <c r="V874" s="4"/>
      <c r="W874" s="4"/>
    </row>
    <row r="875" spans="1:23" x14ac:dyDescent="0.2">
      <c r="A875" s="4">
        <v>50</v>
      </c>
      <c r="B875" s="4">
        <v>0</v>
      </c>
      <c r="C875" s="4">
        <v>0</v>
      </c>
      <c r="D875" s="4">
        <v>1</v>
      </c>
      <c r="E875" s="4">
        <v>214</v>
      </c>
      <c r="F875" s="4">
        <f>ROUND(Source!AS858,O875)</f>
        <v>0</v>
      </c>
      <c r="G875" s="4" t="s">
        <v>80</v>
      </c>
      <c r="H875" s="4" t="s">
        <v>81</v>
      </c>
      <c r="I875" s="4"/>
      <c r="J875" s="4"/>
      <c r="K875" s="4">
        <v>214</v>
      </c>
      <c r="L875" s="4">
        <v>16</v>
      </c>
      <c r="M875" s="4">
        <v>3</v>
      </c>
      <c r="N875" s="4" t="s">
        <v>3</v>
      </c>
      <c r="O875" s="4">
        <v>2</v>
      </c>
      <c r="P875" s="4"/>
      <c r="Q875" s="4"/>
      <c r="R875" s="4"/>
      <c r="S875" s="4"/>
      <c r="T875" s="4"/>
      <c r="U875" s="4"/>
      <c r="V875" s="4"/>
      <c r="W875" s="4"/>
    </row>
    <row r="876" spans="1:23" x14ac:dyDescent="0.2">
      <c r="A876" s="4">
        <v>50</v>
      </c>
      <c r="B876" s="4">
        <v>0</v>
      </c>
      <c r="C876" s="4">
        <v>0</v>
      </c>
      <c r="D876" s="4">
        <v>1</v>
      </c>
      <c r="E876" s="4">
        <v>215</v>
      </c>
      <c r="F876" s="4">
        <f>ROUND(Source!AT858,O876)</f>
        <v>0</v>
      </c>
      <c r="G876" s="4" t="s">
        <v>82</v>
      </c>
      <c r="H876" s="4" t="s">
        <v>83</v>
      </c>
      <c r="I876" s="4"/>
      <c r="J876" s="4"/>
      <c r="K876" s="4">
        <v>215</v>
      </c>
      <c r="L876" s="4">
        <v>17</v>
      </c>
      <c r="M876" s="4">
        <v>3</v>
      </c>
      <c r="N876" s="4" t="s">
        <v>3</v>
      </c>
      <c r="O876" s="4">
        <v>2</v>
      </c>
      <c r="P876" s="4"/>
      <c r="Q876" s="4"/>
      <c r="R876" s="4"/>
      <c r="S876" s="4"/>
      <c r="T876" s="4"/>
      <c r="U876" s="4"/>
      <c r="V876" s="4"/>
      <c r="W876" s="4"/>
    </row>
    <row r="877" spans="1:23" x14ac:dyDescent="0.2">
      <c r="A877" s="4">
        <v>50</v>
      </c>
      <c r="B877" s="4">
        <v>0</v>
      </c>
      <c r="C877" s="4">
        <v>0</v>
      </c>
      <c r="D877" s="4">
        <v>1</v>
      </c>
      <c r="E877" s="4">
        <v>217</v>
      </c>
      <c r="F877" s="4">
        <f>ROUND(Source!AU858,O877)</f>
        <v>436901.21</v>
      </c>
      <c r="G877" s="4" t="s">
        <v>84</v>
      </c>
      <c r="H877" s="4" t="s">
        <v>85</v>
      </c>
      <c r="I877" s="4"/>
      <c r="J877" s="4"/>
      <c r="K877" s="4">
        <v>217</v>
      </c>
      <c r="L877" s="4">
        <v>18</v>
      </c>
      <c r="M877" s="4">
        <v>3</v>
      </c>
      <c r="N877" s="4" t="s">
        <v>3</v>
      </c>
      <c r="O877" s="4">
        <v>2</v>
      </c>
      <c r="P877" s="4"/>
      <c r="Q877" s="4"/>
      <c r="R877" s="4"/>
      <c r="S877" s="4"/>
      <c r="T877" s="4"/>
      <c r="U877" s="4"/>
      <c r="V877" s="4"/>
      <c r="W877" s="4"/>
    </row>
    <row r="878" spans="1:23" x14ac:dyDescent="0.2">
      <c r="A878" s="4">
        <v>50</v>
      </c>
      <c r="B878" s="4">
        <v>0</v>
      </c>
      <c r="C878" s="4">
        <v>0</v>
      </c>
      <c r="D878" s="4">
        <v>1</v>
      </c>
      <c r="E878" s="4">
        <v>230</v>
      </c>
      <c r="F878" s="4">
        <f>ROUND(Source!BA858,O878)</f>
        <v>0</v>
      </c>
      <c r="G878" s="4" t="s">
        <v>86</v>
      </c>
      <c r="H878" s="4" t="s">
        <v>87</v>
      </c>
      <c r="I878" s="4"/>
      <c r="J878" s="4"/>
      <c r="K878" s="4">
        <v>230</v>
      </c>
      <c r="L878" s="4">
        <v>19</v>
      </c>
      <c r="M878" s="4">
        <v>3</v>
      </c>
      <c r="N878" s="4" t="s">
        <v>3</v>
      </c>
      <c r="O878" s="4">
        <v>2</v>
      </c>
      <c r="P878" s="4"/>
      <c r="Q878" s="4"/>
      <c r="R878" s="4"/>
      <c r="S878" s="4"/>
      <c r="T878" s="4"/>
      <c r="U878" s="4"/>
      <c r="V878" s="4"/>
      <c r="W878" s="4"/>
    </row>
    <row r="879" spans="1:23" x14ac:dyDescent="0.2">
      <c r="A879" s="4">
        <v>50</v>
      </c>
      <c r="B879" s="4">
        <v>0</v>
      </c>
      <c r="C879" s="4">
        <v>0</v>
      </c>
      <c r="D879" s="4">
        <v>1</v>
      </c>
      <c r="E879" s="4">
        <v>206</v>
      </c>
      <c r="F879" s="4">
        <f>ROUND(Source!T858,O879)</f>
        <v>0</v>
      </c>
      <c r="G879" s="4" t="s">
        <v>88</v>
      </c>
      <c r="H879" s="4" t="s">
        <v>89</v>
      </c>
      <c r="I879" s="4"/>
      <c r="J879" s="4"/>
      <c r="K879" s="4">
        <v>206</v>
      </c>
      <c r="L879" s="4">
        <v>20</v>
      </c>
      <c r="M879" s="4">
        <v>3</v>
      </c>
      <c r="N879" s="4" t="s">
        <v>3</v>
      </c>
      <c r="O879" s="4">
        <v>2</v>
      </c>
      <c r="P879" s="4"/>
      <c r="Q879" s="4"/>
      <c r="R879" s="4"/>
      <c r="S879" s="4"/>
      <c r="T879" s="4"/>
      <c r="U879" s="4"/>
      <c r="V879" s="4"/>
      <c r="W879" s="4"/>
    </row>
    <row r="880" spans="1:23" x14ac:dyDescent="0.2">
      <c r="A880" s="4">
        <v>50</v>
      </c>
      <c r="B880" s="4">
        <v>0</v>
      </c>
      <c r="C880" s="4">
        <v>0</v>
      </c>
      <c r="D880" s="4">
        <v>1</v>
      </c>
      <c r="E880" s="4">
        <v>207</v>
      </c>
      <c r="F880" s="4">
        <f>Source!U858</f>
        <v>86.6952</v>
      </c>
      <c r="G880" s="4" t="s">
        <v>90</v>
      </c>
      <c r="H880" s="4" t="s">
        <v>91</v>
      </c>
      <c r="I880" s="4"/>
      <c r="J880" s="4"/>
      <c r="K880" s="4">
        <v>207</v>
      </c>
      <c r="L880" s="4">
        <v>21</v>
      </c>
      <c r="M880" s="4">
        <v>3</v>
      </c>
      <c r="N880" s="4" t="s">
        <v>3</v>
      </c>
      <c r="O880" s="4">
        <v>-1</v>
      </c>
      <c r="P880" s="4"/>
      <c r="Q880" s="4"/>
      <c r="R880" s="4"/>
      <c r="S880" s="4"/>
      <c r="T880" s="4"/>
      <c r="U880" s="4"/>
      <c r="V880" s="4"/>
      <c r="W880" s="4"/>
    </row>
    <row r="881" spans="1:245" x14ac:dyDescent="0.2">
      <c r="A881" s="4">
        <v>50</v>
      </c>
      <c r="B881" s="4">
        <v>0</v>
      </c>
      <c r="C881" s="4">
        <v>0</v>
      </c>
      <c r="D881" s="4">
        <v>1</v>
      </c>
      <c r="E881" s="4">
        <v>208</v>
      </c>
      <c r="F881" s="4">
        <f>Source!V858</f>
        <v>0</v>
      </c>
      <c r="G881" s="4" t="s">
        <v>92</v>
      </c>
      <c r="H881" s="4" t="s">
        <v>93</v>
      </c>
      <c r="I881" s="4"/>
      <c r="J881" s="4"/>
      <c r="K881" s="4">
        <v>208</v>
      </c>
      <c r="L881" s="4">
        <v>22</v>
      </c>
      <c r="M881" s="4">
        <v>3</v>
      </c>
      <c r="N881" s="4" t="s">
        <v>3</v>
      </c>
      <c r="O881" s="4">
        <v>-1</v>
      </c>
      <c r="P881" s="4"/>
      <c r="Q881" s="4"/>
      <c r="R881" s="4"/>
      <c r="S881" s="4"/>
      <c r="T881" s="4"/>
      <c r="U881" s="4"/>
      <c r="V881" s="4"/>
      <c r="W881" s="4"/>
    </row>
    <row r="882" spans="1:245" x14ac:dyDescent="0.2">
      <c r="A882" s="4">
        <v>50</v>
      </c>
      <c r="B882" s="4">
        <v>0</v>
      </c>
      <c r="C882" s="4">
        <v>0</v>
      </c>
      <c r="D882" s="4">
        <v>1</v>
      </c>
      <c r="E882" s="4">
        <v>209</v>
      </c>
      <c r="F882" s="4">
        <f>ROUND(Source!W858,O882)</f>
        <v>0</v>
      </c>
      <c r="G882" s="4" t="s">
        <v>94</v>
      </c>
      <c r="H882" s="4" t="s">
        <v>95</v>
      </c>
      <c r="I882" s="4"/>
      <c r="J882" s="4"/>
      <c r="K882" s="4">
        <v>209</v>
      </c>
      <c r="L882" s="4">
        <v>23</v>
      </c>
      <c r="M882" s="4">
        <v>3</v>
      </c>
      <c r="N882" s="4" t="s">
        <v>3</v>
      </c>
      <c r="O882" s="4">
        <v>2</v>
      </c>
      <c r="P882" s="4"/>
      <c r="Q882" s="4"/>
      <c r="R882" s="4"/>
      <c r="S882" s="4"/>
      <c r="T882" s="4"/>
      <c r="U882" s="4"/>
      <c r="V882" s="4"/>
      <c r="W882" s="4"/>
    </row>
    <row r="883" spans="1:245" x14ac:dyDescent="0.2">
      <c r="A883" s="4">
        <v>50</v>
      </c>
      <c r="B883" s="4">
        <v>0</v>
      </c>
      <c r="C883" s="4">
        <v>0</v>
      </c>
      <c r="D883" s="4">
        <v>1</v>
      </c>
      <c r="E883" s="4">
        <v>233</v>
      </c>
      <c r="F883" s="4">
        <f>ROUND(Source!BD858,O883)</f>
        <v>0</v>
      </c>
      <c r="G883" s="4" t="s">
        <v>96</v>
      </c>
      <c r="H883" s="4" t="s">
        <v>97</v>
      </c>
      <c r="I883" s="4"/>
      <c r="J883" s="4"/>
      <c r="K883" s="4">
        <v>233</v>
      </c>
      <c r="L883" s="4">
        <v>24</v>
      </c>
      <c r="M883" s="4">
        <v>3</v>
      </c>
      <c r="N883" s="4" t="s">
        <v>3</v>
      </c>
      <c r="O883" s="4">
        <v>2</v>
      </c>
      <c r="P883" s="4"/>
      <c r="Q883" s="4"/>
      <c r="R883" s="4"/>
      <c r="S883" s="4"/>
      <c r="T883" s="4"/>
      <c r="U883" s="4"/>
      <c r="V883" s="4"/>
      <c r="W883" s="4"/>
    </row>
    <row r="884" spans="1:245" x14ac:dyDescent="0.2">
      <c r="A884" s="4">
        <v>50</v>
      </c>
      <c r="B884" s="4">
        <v>0</v>
      </c>
      <c r="C884" s="4">
        <v>0</v>
      </c>
      <c r="D884" s="4">
        <v>1</v>
      </c>
      <c r="E884" s="4">
        <v>210</v>
      </c>
      <c r="F884" s="4">
        <f>ROUND(Source!X858,O884)</f>
        <v>13397.82</v>
      </c>
      <c r="G884" s="4" t="s">
        <v>98</v>
      </c>
      <c r="H884" s="4" t="s">
        <v>99</v>
      </c>
      <c r="I884" s="4"/>
      <c r="J884" s="4"/>
      <c r="K884" s="4">
        <v>210</v>
      </c>
      <c r="L884" s="4">
        <v>25</v>
      </c>
      <c r="M884" s="4">
        <v>3</v>
      </c>
      <c r="N884" s="4" t="s">
        <v>3</v>
      </c>
      <c r="O884" s="4">
        <v>2</v>
      </c>
      <c r="P884" s="4"/>
      <c r="Q884" s="4"/>
      <c r="R884" s="4"/>
      <c r="S884" s="4"/>
      <c r="T884" s="4"/>
      <c r="U884" s="4"/>
      <c r="V884" s="4"/>
      <c r="W884" s="4"/>
    </row>
    <row r="885" spans="1:245" x14ac:dyDescent="0.2">
      <c r="A885" s="4">
        <v>50</v>
      </c>
      <c r="B885" s="4">
        <v>0</v>
      </c>
      <c r="C885" s="4">
        <v>0</v>
      </c>
      <c r="D885" s="4">
        <v>1</v>
      </c>
      <c r="E885" s="4">
        <v>211</v>
      </c>
      <c r="F885" s="4">
        <f>ROUND(Source!Y858,O885)</f>
        <v>1913.98</v>
      </c>
      <c r="G885" s="4" t="s">
        <v>100</v>
      </c>
      <c r="H885" s="4" t="s">
        <v>101</v>
      </c>
      <c r="I885" s="4"/>
      <c r="J885" s="4"/>
      <c r="K885" s="4">
        <v>211</v>
      </c>
      <c r="L885" s="4">
        <v>26</v>
      </c>
      <c r="M885" s="4">
        <v>3</v>
      </c>
      <c r="N885" s="4" t="s">
        <v>3</v>
      </c>
      <c r="O885" s="4">
        <v>2</v>
      </c>
      <c r="P885" s="4"/>
      <c r="Q885" s="4"/>
      <c r="R885" s="4"/>
      <c r="S885" s="4"/>
      <c r="T885" s="4"/>
      <c r="U885" s="4"/>
      <c r="V885" s="4"/>
      <c r="W885" s="4"/>
    </row>
    <row r="886" spans="1:245" x14ac:dyDescent="0.2">
      <c r="A886" s="4">
        <v>50</v>
      </c>
      <c r="B886" s="4">
        <v>0</v>
      </c>
      <c r="C886" s="4">
        <v>0</v>
      </c>
      <c r="D886" s="4">
        <v>1</v>
      </c>
      <c r="E886" s="4">
        <v>224</v>
      </c>
      <c r="F886" s="4">
        <f>ROUND(Source!AR858,O886)</f>
        <v>436901.21</v>
      </c>
      <c r="G886" s="4" t="s">
        <v>102</v>
      </c>
      <c r="H886" s="4" t="s">
        <v>103</v>
      </c>
      <c r="I886" s="4"/>
      <c r="J886" s="4"/>
      <c r="K886" s="4">
        <v>224</v>
      </c>
      <c r="L886" s="4">
        <v>27</v>
      </c>
      <c r="M886" s="4">
        <v>3</v>
      </c>
      <c r="N886" s="4" t="s">
        <v>3</v>
      </c>
      <c r="O886" s="4">
        <v>2</v>
      </c>
      <c r="P886" s="4"/>
      <c r="Q886" s="4"/>
      <c r="R886" s="4"/>
      <c r="S886" s="4"/>
      <c r="T886" s="4"/>
      <c r="U886" s="4"/>
      <c r="V886" s="4"/>
      <c r="W886" s="4"/>
    </row>
    <row r="888" spans="1:245" x14ac:dyDescent="0.2">
      <c r="A888" s="1">
        <v>4</v>
      </c>
      <c r="B888" s="1">
        <v>1</v>
      </c>
      <c r="C888" s="1"/>
      <c r="D888" s="1">
        <f>ROW(A896)</f>
        <v>896</v>
      </c>
      <c r="E888" s="1"/>
      <c r="F888" s="1" t="s">
        <v>12</v>
      </c>
      <c r="G888" s="1" t="s">
        <v>361</v>
      </c>
      <c r="H888" s="1" t="s">
        <v>3</v>
      </c>
      <c r="I888" s="1">
        <v>0</v>
      </c>
      <c r="J888" s="1"/>
      <c r="K888" s="1">
        <v>0</v>
      </c>
      <c r="L888" s="1"/>
      <c r="M888" s="1"/>
      <c r="N888" s="1"/>
      <c r="O888" s="1"/>
      <c r="P888" s="1"/>
      <c r="Q888" s="1"/>
      <c r="R888" s="1"/>
      <c r="S888" s="1"/>
      <c r="T888" s="1"/>
      <c r="U888" s="1" t="s">
        <v>3</v>
      </c>
      <c r="V888" s="1">
        <v>0</v>
      </c>
      <c r="W888" s="1"/>
      <c r="X888" s="1"/>
      <c r="Y888" s="1"/>
      <c r="Z888" s="1"/>
      <c r="AA888" s="1"/>
      <c r="AB888" s="1" t="s">
        <v>3</v>
      </c>
      <c r="AC888" s="1" t="s">
        <v>3</v>
      </c>
      <c r="AD888" s="1" t="s">
        <v>3</v>
      </c>
      <c r="AE888" s="1" t="s">
        <v>3</v>
      </c>
      <c r="AF888" s="1" t="s">
        <v>3</v>
      </c>
      <c r="AG888" s="1" t="s">
        <v>3</v>
      </c>
      <c r="AH888" s="1"/>
      <c r="AI888" s="1"/>
      <c r="AJ888" s="1"/>
      <c r="AK888" s="1"/>
      <c r="AL888" s="1"/>
      <c r="AM888" s="1"/>
      <c r="AN888" s="1"/>
      <c r="AO888" s="1"/>
      <c r="AP888" s="1" t="s">
        <v>3</v>
      </c>
      <c r="AQ888" s="1" t="s">
        <v>3</v>
      </c>
      <c r="AR888" s="1" t="s">
        <v>3</v>
      </c>
      <c r="AS888" s="1"/>
      <c r="AT888" s="1"/>
      <c r="AU888" s="1"/>
      <c r="AV888" s="1"/>
      <c r="AW888" s="1"/>
      <c r="AX888" s="1"/>
      <c r="AY888" s="1"/>
      <c r="AZ888" s="1" t="s">
        <v>3</v>
      </c>
      <c r="BA888" s="1"/>
      <c r="BB888" s="1" t="s">
        <v>3</v>
      </c>
      <c r="BC888" s="1" t="s">
        <v>3</v>
      </c>
      <c r="BD888" s="1" t="s">
        <v>3</v>
      </c>
      <c r="BE888" s="1" t="s">
        <v>3</v>
      </c>
      <c r="BF888" s="1" t="s">
        <v>3</v>
      </c>
      <c r="BG888" s="1" t="s">
        <v>3</v>
      </c>
      <c r="BH888" s="1" t="s">
        <v>3</v>
      </c>
      <c r="BI888" s="1" t="s">
        <v>3</v>
      </c>
      <c r="BJ888" s="1" t="s">
        <v>3</v>
      </c>
      <c r="BK888" s="1" t="s">
        <v>3</v>
      </c>
      <c r="BL888" s="1" t="s">
        <v>3</v>
      </c>
      <c r="BM888" s="1" t="s">
        <v>3</v>
      </c>
      <c r="BN888" s="1" t="s">
        <v>3</v>
      </c>
      <c r="BO888" s="1" t="s">
        <v>3</v>
      </c>
      <c r="BP888" s="1" t="s">
        <v>3</v>
      </c>
      <c r="BQ888" s="1"/>
      <c r="BR888" s="1"/>
      <c r="BS888" s="1"/>
      <c r="BT888" s="1"/>
      <c r="BU888" s="1"/>
      <c r="BV888" s="1"/>
      <c r="BW888" s="1"/>
      <c r="BX888" s="1">
        <v>0</v>
      </c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>
        <v>0</v>
      </c>
    </row>
    <row r="890" spans="1:245" x14ac:dyDescent="0.2">
      <c r="A890" s="2">
        <v>52</v>
      </c>
      <c r="B890" s="2">
        <f t="shared" ref="B890:G890" si="394">B896</f>
        <v>1</v>
      </c>
      <c r="C890" s="2">
        <f t="shared" si="394"/>
        <v>4</v>
      </c>
      <c r="D890" s="2">
        <f t="shared" si="394"/>
        <v>888</v>
      </c>
      <c r="E890" s="2">
        <f t="shared" si="394"/>
        <v>0</v>
      </c>
      <c r="F890" s="2" t="str">
        <f t="shared" si="394"/>
        <v>Новый раздел</v>
      </c>
      <c r="G890" s="2" t="str">
        <f t="shared" si="394"/>
        <v>Мусор</v>
      </c>
      <c r="H890" s="2"/>
      <c r="I890" s="2"/>
      <c r="J890" s="2"/>
      <c r="K890" s="2"/>
      <c r="L890" s="2"/>
      <c r="M890" s="2"/>
      <c r="N890" s="2"/>
      <c r="O890" s="2">
        <f t="shared" ref="O890:AT890" si="395">O896</f>
        <v>157153.25</v>
      </c>
      <c r="P890" s="2">
        <f t="shared" si="395"/>
        <v>0</v>
      </c>
      <c r="Q890" s="2">
        <f t="shared" si="395"/>
        <v>157153.25</v>
      </c>
      <c r="R890" s="2">
        <f t="shared" si="395"/>
        <v>82344.84</v>
      </c>
      <c r="S890" s="2">
        <f t="shared" si="395"/>
        <v>0</v>
      </c>
      <c r="T890" s="2">
        <f t="shared" si="395"/>
        <v>0</v>
      </c>
      <c r="U890" s="2">
        <f t="shared" si="395"/>
        <v>0</v>
      </c>
      <c r="V890" s="2">
        <f t="shared" si="395"/>
        <v>0</v>
      </c>
      <c r="W890" s="2">
        <f t="shared" si="395"/>
        <v>0</v>
      </c>
      <c r="X890" s="2">
        <f t="shared" si="395"/>
        <v>0</v>
      </c>
      <c r="Y890" s="2">
        <f t="shared" si="395"/>
        <v>0</v>
      </c>
      <c r="Z890" s="2">
        <f t="shared" si="395"/>
        <v>0</v>
      </c>
      <c r="AA890" s="2">
        <f t="shared" si="395"/>
        <v>0</v>
      </c>
      <c r="AB890" s="2">
        <f t="shared" si="395"/>
        <v>157153.25</v>
      </c>
      <c r="AC890" s="2">
        <f t="shared" si="395"/>
        <v>0</v>
      </c>
      <c r="AD890" s="2">
        <f t="shared" si="395"/>
        <v>157153.25</v>
      </c>
      <c r="AE890" s="2">
        <f t="shared" si="395"/>
        <v>82344.84</v>
      </c>
      <c r="AF890" s="2">
        <f t="shared" si="395"/>
        <v>0</v>
      </c>
      <c r="AG890" s="2">
        <f t="shared" si="395"/>
        <v>0</v>
      </c>
      <c r="AH890" s="2">
        <f t="shared" si="395"/>
        <v>0</v>
      </c>
      <c r="AI890" s="2">
        <f t="shared" si="395"/>
        <v>0</v>
      </c>
      <c r="AJ890" s="2">
        <f t="shared" si="395"/>
        <v>0</v>
      </c>
      <c r="AK890" s="2">
        <f t="shared" si="395"/>
        <v>0</v>
      </c>
      <c r="AL890" s="2">
        <f t="shared" si="395"/>
        <v>0</v>
      </c>
      <c r="AM890" s="2">
        <f t="shared" si="395"/>
        <v>0</v>
      </c>
      <c r="AN890" s="2">
        <f t="shared" si="395"/>
        <v>0</v>
      </c>
      <c r="AO890" s="2">
        <f t="shared" si="395"/>
        <v>0</v>
      </c>
      <c r="AP890" s="2">
        <f t="shared" si="395"/>
        <v>0</v>
      </c>
      <c r="AQ890" s="2">
        <f t="shared" si="395"/>
        <v>0</v>
      </c>
      <c r="AR890" s="2">
        <f t="shared" si="395"/>
        <v>161999.34</v>
      </c>
      <c r="AS890" s="2">
        <f t="shared" si="395"/>
        <v>0</v>
      </c>
      <c r="AT890" s="2">
        <f t="shared" si="395"/>
        <v>0</v>
      </c>
      <c r="AU890" s="2">
        <f t="shared" ref="AU890:BZ890" si="396">AU896</f>
        <v>161999.34</v>
      </c>
      <c r="AV890" s="2">
        <f t="shared" si="396"/>
        <v>0</v>
      </c>
      <c r="AW890" s="2">
        <f t="shared" si="396"/>
        <v>0</v>
      </c>
      <c r="AX890" s="2">
        <f t="shared" si="396"/>
        <v>0</v>
      </c>
      <c r="AY890" s="2">
        <f t="shared" si="396"/>
        <v>0</v>
      </c>
      <c r="AZ890" s="2">
        <f t="shared" si="396"/>
        <v>0</v>
      </c>
      <c r="BA890" s="2">
        <f t="shared" si="396"/>
        <v>0</v>
      </c>
      <c r="BB890" s="2">
        <f t="shared" si="396"/>
        <v>0</v>
      </c>
      <c r="BC890" s="2">
        <f t="shared" si="396"/>
        <v>0</v>
      </c>
      <c r="BD890" s="2">
        <f t="shared" si="396"/>
        <v>0</v>
      </c>
      <c r="BE890" s="2">
        <f t="shared" si="396"/>
        <v>0</v>
      </c>
      <c r="BF890" s="2">
        <f t="shared" si="396"/>
        <v>0</v>
      </c>
      <c r="BG890" s="2">
        <f t="shared" si="396"/>
        <v>0</v>
      </c>
      <c r="BH890" s="2">
        <f t="shared" si="396"/>
        <v>0</v>
      </c>
      <c r="BI890" s="2">
        <f t="shared" si="396"/>
        <v>0</v>
      </c>
      <c r="BJ890" s="2">
        <f t="shared" si="396"/>
        <v>0</v>
      </c>
      <c r="BK890" s="2">
        <f t="shared" si="396"/>
        <v>0</v>
      </c>
      <c r="BL890" s="2">
        <f t="shared" si="396"/>
        <v>0</v>
      </c>
      <c r="BM890" s="2">
        <f t="shared" si="396"/>
        <v>0</v>
      </c>
      <c r="BN890" s="2">
        <f t="shared" si="396"/>
        <v>0</v>
      </c>
      <c r="BO890" s="2">
        <f t="shared" si="396"/>
        <v>0</v>
      </c>
      <c r="BP890" s="2">
        <f t="shared" si="396"/>
        <v>0</v>
      </c>
      <c r="BQ890" s="2">
        <f t="shared" si="396"/>
        <v>0</v>
      </c>
      <c r="BR890" s="2">
        <f t="shared" si="396"/>
        <v>0</v>
      </c>
      <c r="BS890" s="2">
        <f t="shared" si="396"/>
        <v>0</v>
      </c>
      <c r="BT890" s="2">
        <f t="shared" si="396"/>
        <v>0</v>
      </c>
      <c r="BU890" s="2">
        <f t="shared" si="396"/>
        <v>0</v>
      </c>
      <c r="BV890" s="2">
        <f t="shared" si="396"/>
        <v>0</v>
      </c>
      <c r="BW890" s="2">
        <f t="shared" si="396"/>
        <v>0</v>
      </c>
      <c r="BX890" s="2">
        <f t="shared" si="396"/>
        <v>0</v>
      </c>
      <c r="BY890" s="2">
        <f t="shared" si="396"/>
        <v>0</v>
      </c>
      <c r="BZ890" s="2">
        <f t="shared" si="396"/>
        <v>0</v>
      </c>
      <c r="CA890" s="2">
        <f t="shared" ref="CA890:DF890" si="397">CA896</f>
        <v>161999.34</v>
      </c>
      <c r="CB890" s="2">
        <f t="shared" si="397"/>
        <v>0</v>
      </c>
      <c r="CC890" s="2">
        <f t="shared" si="397"/>
        <v>0</v>
      </c>
      <c r="CD890" s="2">
        <f t="shared" si="397"/>
        <v>161999.34</v>
      </c>
      <c r="CE890" s="2">
        <f t="shared" si="397"/>
        <v>0</v>
      </c>
      <c r="CF890" s="2">
        <f t="shared" si="397"/>
        <v>0</v>
      </c>
      <c r="CG890" s="2">
        <f t="shared" si="397"/>
        <v>0</v>
      </c>
      <c r="CH890" s="2">
        <f t="shared" si="397"/>
        <v>0</v>
      </c>
      <c r="CI890" s="2">
        <f t="shared" si="397"/>
        <v>0</v>
      </c>
      <c r="CJ890" s="2">
        <f t="shared" si="397"/>
        <v>0</v>
      </c>
      <c r="CK890" s="2">
        <f t="shared" si="397"/>
        <v>0</v>
      </c>
      <c r="CL890" s="2">
        <f t="shared" si="397"/>
        <v>0</v>
      </c>
      <c r="CM890" s="2">
        <f t="shared" si="397"/>
        <v>0</v>
      </c>
      <c r="CN890" s="2">
        <f t="shared" si="397"/>
        <v>0</v>
      </c>
      <c r="CO890" s="2">
        <f t="shared" si="397"/>
        <v>0</v>
      </c>
      <c r="CP890" s="2">
        <f t="shared" si="397"/>
        <v>0</v>
      </c>
      <c r="CQ890" s="2">
        <f t="shared" si="397"/>
        <v>0</v>
      </c>
      <c r="CR890" s="2">
        <f t="shared" si="397"/>
        <v>0</v>
      </c>
      <c r="CS890" s="2">
        <f t="shared" si="397"/>
        <v>0</v>
      </c>
      <c r="CT890" s="2">
        <f t="shared" si="397"/>
        <v>0</v>
      </c>
      <c r="CU890" s="2">
        <f t="shared" si="397"/>
        <v>0</v>
      </c>
      <c r="CV890" s="2">
        <f t="shared" si="397"/>
        <v>0</v>
      </c>
      <c r="CW890" s="2">
        <f t="shared" si="397"/>
        <v>0</v>
      </c>
      <c r="CX890" s="2">
        <f t="shared" si="397"/>
        <v>0</v>
      </c>
      <c r="CY890" s="2">
        <f t="shared" si="397"/>
        <v>0</v>
      </c>
      <c r="CZ890" s="2">
        <f t="shared" si="397"/>
        <v>0</v>
      </c>
      <c r="DA890" s="2">
        <f t="shared" si="397"/>
        <v>0</v>
      </c>
      <c r="DB890" s="2">
        <f t="shared" si="397"/>
        <v>0</v>
      </c>
      <c r="DC890" s="2">
        <f t="shared" si="397"/>
        <v>0</v>
      </c>
      <c r="DD890" s="2">
        <f t="shared" si="397"/>
        <v>0</v>
      </c>
      <c r="DE890" s="2">
        <f t="shared" si="397"/>
        <v>0</v>
      </c>
      <c r="DF890" s="2">
        <f t="shared" si="397"/>
        <v>0</v>
      </c>
      <c r="DG890" s="3">
        <f t="shared" ref="DG890:EL890" si="398">DG896</f>
        <v>0</v>
      </c>
      <c r="DH890" s="3">
        <f t="shared" si="398"/>
        <v>0</v>
      </c>
      <c r="DI890" s="3">
        <f t="shared" si="398"/>
        <v>0</v>
      </c>
      <c r="DJ890" s="3">
        <f t="shared" si="398"/>
        <v>0</v>
      </c>
      <c r="DK890" s="3">
        <f t="shared" si="398"/>
        <v>0</v>
      </c>
      <c r="DL890" s="3">
        <f t="shared" si="398"/>
        <v>0</v>
      </c>
      <c r="DM890" s="3">
        <f t="shared" si="398"/>
        <v>0</v>
      </c>
      <c r="DN890" s="3">
        <f t="shared" si="398"/>
        <v>0</v>
      </c>
      <c r="DO890" s="3">
        <f t="shared" si="398"/>
        <v>0</v>
      </c>
      <c r="DP890" s="3">
        <f t="shared" si="398"/>
        <v>0</v>
      </c>
      <c r="DQ890" s="3">
        <f t="shared" si="398"/>
        <v>0</v>
      </c>
      <c r="DR890" s="3">
        <f t="shared" si="398"/>
        <v>0</v>
      </c>
      <c r="DS890" s="3">
        <f t="shared" si="398"/>
        <v>0</v>
      </c>
      <c r="DT890" s="3">
        <f t="shared" si="398"/>
        <v>0</v>
      </c>
      <c r="DU890" s="3">
        <f t="shared" si="398"/>
        <v>0</v>
      </c>
      <c r="DV890" s="3">
        <f t="shared" si="398"/>
        <v>0</v>
      </c>
      <c r="DW890" s="3">
        <f t="shared" si="398"/>
        <v>0</v>
      </c>
      <c r="DX890" s="3">
        <f t="shared" si="398"/>
        <v>0</v>
      </c>
      <c r="DY890" s="3">
        <f t="shared" si="398"/>
        <v>0</v>
      </c>
      <c r="DZ890" s="3">
        <f t="shared" si="398"/>
        <v>0</v>
      </c>
      <c r="EA890" s="3">
        <f t="shared" si="398"/>
        <v>0</v>
      </c>
      <c r="EB890" s="3">
        <f t="shared" si="398"/>
        <v>0</v>
      </c>
      <c r="EC890" s="3">
        <f t="shared" si="398"/>
        <v>0</v>
      </c>
      <c r="ED890" s="3">
        <f t="shared" si="398"/>
        <v>0</v>
      </c>
      <c r="EE890" s="3">
        <f t="shared" si="398"/>
        <v>0</v>
      </c>
      <c r="EF890" s="3">
        <f t="shared" si="398"/>
        <v>0</v>
      </c>
      <c r="EG890" s="3">
        <f t="shared" si="398"/>
        <v>0</v>
      </c>
      <c r="EH890" s="3">
        <f t="shared" si="398"/>
        <v>0</v>
      </c>
      <c r="EI890" s="3">
        <f t="shared" si="398"/>
        <v>0</v>
      </c>
      <c r="EJ890" s="3">
        <f t="shared" si="398"/>
        <v>0</v>
      </c>
      <c r="EK890" s="3">
        <f t="shared" si="398"/>
        <v>0</v>
      </c>
      <c r="EL890" s="3">
        <f t="shared" si="398"/>
        <v>0</v>
      </c>
      <c r="EM890" s="3">
        <f t="shared" ref="EM890:FR890" si="399">EM896</f>
        <v>0</v>
      </c>
      <c r="EN890" s="3">
        <f t="shared" si="399"/>
        <v>0</v>
      </c>
      <c r="EO890" s="3">
        <f t="shared" si="399"/>
        <v>0</v>
      </c>
      <c r="EP890" s="3">
        <f t="shared" si="399"/>
        <v>0</v>
      </c>
      <c r="EQ890" s="3">
        <f t="shared" si="399"/>
        <v>0</v>
      </c>
      <c r="ER890" s="3">
        <f t="shared" si="399"/>
        <v>0</v>
      </c>
      <c r="ES890" s="3">
        <f t="shared" si="399"/>
        <v>0</v>
      </c>
      <c r="ET890" s="3">
        <f t="shared" si="399"/>
        <v>0</v>
      </c>
      <c r="EU890" s="3">
        <f t="shared" si="399"/>
        <v>0</v>
      </c>
      <c r="EV890" s="3">
        <f t="shared" si="399"/>
        <v>0</v>
      </c>
      <c r="EW890" s="3">
        <f t="shared" si="399"/>
        <v>0</v>
      </c>
      <c r="EX890" s="3">
        <f t="shared" si="399"/>
        <v>0</v>
      </c>
      <c r="EY890" s="3">
        <f t="shared" si="399"/>
        <v>0</v>
      </c>
      <c r="EZ890" s="3">
        <f t="shared" si="399"/>
        <v>0</v>
      </c>
      <c r="FA890" s="3">
        <f t="shared" si="399"/>
        <v>0</v>
      </c>
      <c r="FB890" s="3">
        <f t="shared" si="399"/>
        <v>0</v>
      </c>
      <c r="FC890" s="3">
        <f t="shared" si="399"/>
        <v>0</v>
      </c>
      <c r="FD890" s="3">
        <f t="shared" si="399"/>
        <v>0</v>
      </c>
      <c r="FE890" s="3">
        <f t="shared" si="399"/>
        <v>0</v>
      </c>
      <c r="FF890" s="3">
        <f t="shared" si="399"/>
        <v>0</v>
      </c>
      <c r="FG890" s="3">
        <f t="shared" si="399"/>
        <v>0</v>
      </c>
      <c r="FH890" s="3">
        <f t="shared" si="399"/>
        <v>0</v>
      </c>
      <c r="FI890" s="3">
        <f t="shared" si="399"/>
        <v>0</v>
      </c>
      <c r="FJ890" s="3">
        <f t="shared" si="399"/>
        <v>0</v>
      </c>
      <c r="FK890" s="3">
        <f t="shared" si="399"/>
        <v>0</v>
      </c>
      <c r="FL890" s="3">
        <f t="shared" si="399"/>
        <v>0</v>
      </c>
      <c r="FM890" s="3">
        <f t="shared" si="399"/>
        <v>0</v>
      </c>
      <c r="FN890" s="3">
        <f t="shared" si="399"/>
        <v>0</v>
      </c>
      <c r="FO890" s="3">
        <f t="shared" si="399"/>
        <v>0</v>
      </c>
      <c r="FP890" s="3">
        <f t="shared" si="399"/>
        <v>0</v>
      </c>
      <c r="FQ890" s="3">
        <f t="shared" si="399"/>
        <v>0</v>
      </c>
      <c r="FR890" s="3">
        <f t="shared" si="399"/>
        <v>0</v>
      </c>
      <c r="FS890" s="3">
        <f t="shared" ref="FS890:GX890" si="400">FS896</f>
        <v>0</v>
      </c>
      <c r="FT890" s="3">
        <f t="shared" si="400"/>
        <v>0</v>
      </c>
      <c r="FU890" s="3">
        <f t="shared" si="400"/>
        <v>0</v>
      </c>
      <c r="FV890" s="3">
        <f t="shared" si="400"/>
        <v>0</v>
      </c>
      <c r="FW890" s="3">
        <f t="shared" si="400"/>
        <v>0</v>
      </c>
      <c r="FX890" s="3">
        <f t="shared" si="400"/>
        <v>0</v>
      </c>
      <c r="FY890" s="3">
        <f t="shared" si="400"/>
        <v>0</v>
      </c>
      <c r="FZ890" s="3">
        <f t="shared" si="400"/>
        <v>0</v>
      </c>
      <c r="GA890" s="3">
        <f t="shared" si="400"/>
        <v>0</v>
      </c>
      <c r="GB890" s="3">
        <f t="shared" si="400"/>
        <v>0</v>
      </c>
      <c r="GC890" s="3">
        <f t="shared" si="400"/>
        <v>0</v>
      </c>
      <c r="GD890" s="3">
        <f t="shared" si="400"/>
        <v>0</v>
      </c>
      <c r="GE890" s="3">
        <f t="shared" si="400"/>
        <v>0</v>
      </c>
      <c r="GF890" s="3">
        <f t="shared" si="400"/>
        <v>0</v>
      </c>
      <c r="GG890" s="3">
        <f t="shared" si="400"/>
        <v>0</v>
      </c>
      <c r="GH890" s="3">
        <f t="shared" si="400"/>
        <v>0</v>
      </c>
      <c r="GI890" s="3">
        <f t="shared" si="400"/>
        <v>0</v>
      </c>
      <c r="GJ890" s="3">
        <f t="shared" si="400"/>
        <v>0</v>
      </c>
      <c r="GK890" s="3">
        <f t="shared" si="400"/>
        <v>0</v>
      </c>
      <c r="GL890" s="3">
        <f t="shared" si="400"/>
        <v>0</v>
      </c>
      <c r="GM890" s="3">
        <f t="shared" si="400"/>
        <v>0</v>
      </c>
      <c r="GN890" s="3">
        <f t="shared" si="400"/>
        <v>0</v>
      </c>
      <c r="GO890" s="3">
        <f t="shared" si="400"/>
        <v>0</v>
      </c>
      <c r="GP890" s="3">
        <f t="shared" si="400"/>
        <v>0</v>
      </c>
      <c r="GQ890" s="3">
        <f t="shared" si="400"/>
        <v>0</v>
      </c>
      <c r="GR890" s="3">
        <f t="shared" si="400"/>
        <v>0</v>
      </c>
      <c r="GS890" s="3">
        <f t="shared" si="400"/>
        <v>0</v>
      </c>
      <c r="GT890" s="3">
        <f t="shared" si="400"/>
        <v>0</v>
      </c>
      <c r="GU890" s="3">
        <f t="shared" si="400"/>
        <v>0</v>
      </c>
      <c r="GV890" s="3">
        <f t="shared" si="400"/>
        <v>0</v>
      </c>
      <c r="GW890" s="3">
        <f t="shared" si="400"/>
        <v>0</v>
      </c>
      <c r="GX890" s="3">
        <f t="shared" si="400"/>
        <v>0</v>
      </c>
    </row>
    <row r="892" spans="1:245" x14ac:dyDescent="0.2">
      <c r="A892">
        <v>17</v>
      </c>
      <c r="B892">
        <v>1</v>
      </c>
      <c r="C892">
        <f>ROW(SmtRes!A388)</f>
        <v>388</v>
      </c>
      <c r="D892">
        <f>ROW(EtalonRes!A355)</f>
        <v>355</v>
      </c>
      <c r="E892" t="s">
        <v>362</v>
      </c>
      <c r="F892" t="s">
        <v>363</v>
      </c>
      <c r="G892" t="s">
        <v>364</v>
      </c>
      <c r="H892" t="s">
        <v>155</v>
      </c>
      <c r="I892">
        <v>173.65</v>
      </c>
      <c r="J892">
        <v>0</v>
      </c>
      <c r="O892">
        <f>ROUND(CP892,2)</f>
        <v>13935.41</v>
      </c>
      <c r="P892">
        <f>ROUND(CQ892*I892,2)</f>
        <v>0</v>
      </c>
      <c r="Q892">
        <f>ROUND(CR892*I892,2)</f>
        <v>13935.41</v>
      </c>
      <c r="R892">
        <f>ROUND(CS892*I892,2)</f>
        <v>4487.12</v>
      </c>
      <c r="S892">
        <f>ROUND(CT892*I892,2)</f>
        <v>0</v>
      </c>
      <c r="T892">
        <f>ROUND(CU892*I892,2)</f>
        <v>0</v>
      </c>
      <c r="U892">
        <f>CV892*I892</f>
        <v>0</v>
      </c>
      <c r="V892">
        <f>CW892*I892</f>
        <v>0</v>
      </c>
      <c r="W892">
        <f>ROUND(CX892*I892,2)</f>
        <v>0</v>
      </c>
      <c r="X892">
        <f t="shared" ref="X892:Y894" si="401">ROUND(CY892,2)</f>
        <v>0</v>
      </c>
      <c r="Y892">
        <f t="shared" si="401"/>
        <v>0</v>
      </c>
      <c r="AA892">
        <v>38799519</v>
      </c>
      <c r="AB892">
        <f>ROUND((AC892+AD892+AF892),6)</f>
        <v>80.25</v>
      </c>
      <c r="AC892">
        <f>ROUND((ES892),6)</f>
        <v>0</v>
      </c>
      <c r="AD892">
        <f>ROUND((((ET892)-(EU892))+AE892),6)</f>
        <v>80.25</v>
      </c>
      <c r="AE892">
        <f>ROUND((EU892),6)</f>
        <v>25.84</v>
      </c>
      <c r="AF892">
        <f>ROUND((EV892),6)</f>
        <v>0</v>
      </c>
      <c r="AG892">
        <f>ROUND((AP892),6)</f>
        <v>0</v>
      </c>
      <c r="AH892">
        <f>(EW892)</f>
        <v>0</v>
      </c>
      <c r="AI892">
        <f>(EX892)</f>
        <v>0</v>
      </c>
      <c r="AJ892">
        <f>(AS892)</f>
        <v>0</v>
      </c>
      <c r="AK892">
        <v>80.25</v>
      </c>
      <c r="AL892">
        <v>0</v>
      </c>
      <c r="AM892">
        <v>80.25</v>
      </c>
      <c r="AN892">
        <v>25.84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70</v>
      </c>
      <c r="AU892">
        <v>10</v>
      </c>
      <c r="AV892">
        <v>1</v>
      </c>
      <c r="AW892">
        <v>1</v>
      </c>
      <c r="AZ892">
        <v>1</v>
      </c>
      <c r="BA892">
        <v>1</v>
      </c>
      <c r="BB892">
        <v>1</v>
      </c>
      <c r="BC892">
        <v>1</v>
      </c>
      <c r="BD892" t="s">
        <v>3</v>
      </c>
      <c r="BE892" t="s">
        <v>3</v>
      </c>
      <c r="BF892" t="s">
        <v>3</v>
      </c>
      <c r="BG892" t="s">
        <v>3</v>
      </c>
      <c r="BH892">
        <v>0</v>
      </c>
      <c r="BI892">
        <v>4</v>
      </c>
      <c r="BJ892" t="s">
        <v>365</v>
      </c>
      <c r="BM892">
        <v>0</v>
      </c>
      <c r="BN892">
        <v>0</v>
      </c>
      <c r="BO892" t="s">
        <v>3</v>
      </c>
      <c r="BP892">
        <v>0</v>
      </c>
      <c r="BQ892">
        <v>1</v>
      </c>
      <c r="BR892">
        <v>0</v>
      </c>
      <c r="BS892">
        <v>1</v>
      </c>
      <c r="BT892">
        <v>1</v>
      </c>
      <c r="BU892">
        <v>1</v>
      </c>
      <c r="BV892">
        <v>1</v>
      </c>
      <c r="BW892">
        <v>1</v>
      </c>
      <c r="BX892">
        <v>1</v>
      </c>
      <c r="BY892" t="s">
        <v>3</v>
      </c>
      <c r="BZ892">
        <v>70</v>
      </c>
      <c r="CA892">
        <v>10</v>
      </c>
      <c r="CE892">
        <v>0</v>
      </c>
      <c r="CF892">
        <v>0</v>
      </c>
      <c r="CG892">
        <v>0</v>
      </c>
      <c r="CM892">
        <v>0</v>
      </c>
      <c r="CN892" t="s">
        <v>3</v>
      </c>
      <c r="CO892">
        <v>0</v>
      </c>
      <c r="CP892">
        <f>(P892+Q892+S892)</f>
        <v>13935.41</v>
      </c>
      <c r="CQ892">
        <f>(AC892*BC892*AW892)</f>
        <v>0</v>
      </c>
      <c r="CR892">
        <f>((((ET892)*BB892-(EU892)*BS892)+AE892*BS892)*AV892)</f>
        <v>80.25</v>
      </c>
      <c r="CS892">
        <f>(AE892*BS892*AV892)</f>
        <v>25.84</v>
      </c>
      <c r="CT892">
        <f>(AF892*BA892*AV892)</f>
        <v>0</v>
      </c>
      <c r="CU892">
        <f>AG892</f>
        <v>0</v>
      </c>
      <c r="CV892">
        <f>(AH892*AV892)</f>
        <v>0</v>
      </c>
      <c r="CW892">
        <f t="shared" ref="CW892:CX894" si="402">AI892</f>
        <v>0</v>
      </c>
      <c r="CX892">
        <f t="shared" si="402"/>
        <v>0</v>
      </c>
      <c r="CY892">
        <f>((S892*BZ892)/100)</f>
        <v>0</v>
      </c>
      <c r="CZ892">
        <f>((S892*CA892)/100)</f>
        <v>0</v>
      </c>
      <c r="DC892" t="s">
        <v>3</v>
      </c>
      <c r="DD892" t="s">
        <v>3</v>
      </c>
      <c r="DE892" t="s">
        <v>3</v>
      </c>
      <c r="DF892" t="s">
        <v>3</v>
      </c>
      <c r="DG892" t="s">
        <v>3</v>
      </c>
      <c r="DH892" t="s">
        <v>3</v>
      </c>
      <c r="DI892" t="s">
        <v>3</v>
      </c>
      <c r="DJ892" t="s">
        <v>3</v>
      </c>
      <c r="DK892" t="s">
        <v>3</v>
      </c>
      <c r="DL892" t="s">
        <v>3</v>
      </c>
      <c r="DM892" t="s">
        <v>3</v>
      </c>
      <c r="DN892">
        <v>0</v>
      </c>
      <c r="DO892">
        <v>0</v>
      </c>
      <c r="DP892">
        <v>1</v>
      </c>
      <c r="DQ892">
        <v>1</v>
      </c>
      <c r="DU892">
        <v>1009</v>
      </c>
      <c r="DV892" t="s">
        <v>155</v>
      </c>
      <c r="DW892" t="s">
        <v>155</v>
      </c>
      <c r="DX892">
        <v>1000</v>
      </c>
      <c r="EE892">
        <v>38447819</v>
      </c>
      <c r="EF892">
        <v>1</v>
      </c>
      <c r="EG892" t="s">
        <v>23</v>
      </c>
      <c r="EH892">
        <v>0</v>
      </c>
      <c r="EI892" t="s">
        <v>3</v>
      </c>
      <c r="EJ892">
        <v>4</v>
      </c>
      <c r="EK892">
        <v>0</v>
      </c>
      <c r="EL892" t="s">
        <v>24</v>
      </c>
      <c r="EM892" t="s">
        <v>25</v>
      </c>
      <c r="EO892" t="s">
        <v>3</v>
      </c>
      <c r="EQ892">
        <v>0</v>
      </c>
      <c r="ER892">
        <v>80.25</v>
      </c>
      <c r="ES892">
        <v>0</v>
      </c>
      <c r="ET892">
        <v>80.25</v>
      </c>
      <c r="EU892">
        <v>25.84</v>
      </c>
      <c r="EV892">
        <v>0</v>
      </c>
      <c r="EW892">
        <v>0</v>
      </c>
      <c r="EX892">
        <v>0</v>
      </c>
      <c r="EY892">
        <v>0</v>
      </c>
      <c r="FQ892">
        <v>0</v>
      </c>
      <c r="FR892">
        <f>ROUND(IF(AND(BH892=3,BI892=3),P892,0),2)</f>
        <v>0</v>
      </c>
      <c r="FS892">
        <v>0</v>
      </c>
      <c r="FX892">
        <v>70</v>
      </c>
      <c r="FY892">
        <v>10</v>
      </c>
      <c r="GA892" t="s">
        <v>3</v>
      </c>
      <c r="GD892">
        <v>0</v>
      </c>
      <c r="GF892">
        <v>-706956719</v>
      </c>
      <c r="GG892">
        <v>2</v>
      </c>
      <c r="GH892">
        <v>1</v>
      </c>
      <c r="GI892">
        <v>-2</v>
      </c>
      <c r="GJ892">
        <v>0</v>
      </c>
      <c r="GK892">
        <f>ROUND(R892*(R12)/100,2)</f>
        <v>4846.09</v>
      </c>
      <c r="GL892">
        <f>ROUND(IF(AND(BH892=3,BI892=3,FS892&lt;&gt;0),P892,0),2)</f>
        <v>0</v>
      </c>
      <c r="GM892">
        <f>ROUND(O892+X892+Y892+GK892,2)+GX892</f>
        <v>18781.5</v>
      </c>
      <c r="GN892">
        <f>IF(OR(BI892=0,BI892=1),ROUND(O892+X892+Y892+GK892,2),0)</f>
        <v>0</v>
      </c>
      <c r="GO892">
        <f>IF(BI892=2,ROUND(O892+X892+Y892+GK892,2),0)</f>
        <v>0</v>
      </c>
      <c r="GP892">
        <f>IF(BI892=4,ROUND(O892+X892+Y892+GK892,2)+GX892,0)</f>
        <v>18781.5</v>
      </c>
      <c r="GR892">
        <v>0</v>
      </c>
      <c r="GS892">
        <v>3</v>
      </c>
      <c r="GT892">
        <v>0</v>
      </c>
      <c r="GU892" t="s">
        <v>3</v>
      </c>
      <c r="GV892">
        <f>ROUND((GT892),6)</f>
        <v>0</v>
      </c>
      <c r="GW892">
        <v>1</v>
      </c>
      <c r="GX892">
        <f>ROUND(HC892*I892,2)</f>
        <v>0</v>
      </c>
      <c r="HA892">
        <v>0</v>
      </c>
      <c r="HB892">
        <v>0</v>
      </c>
      <c r="HC892">
        <f>GV892*GW892</f>
        <v>0</v>
      </c>
      <c r="HE892" t="s">
        <v>3</v>
      </c>
      <c r="HF892" t="s">
        <v>3</v>
      </c>
      <c r="IK892">
        <v>0</v>
      </c>
    </row>
    <row r="893" spans="1:245" x14ac:dyDescent="0.2">
      <c r="A893">
        <v>17</v>
      </c>
      <c r="B893">
        <v>1</v>
      </c>
      <c r="C893">
        <f>ROW(SmtRes!A390)</f>
        <v>390</v>
      </c>
      <c r="D893">
        <f>ROW(EtalonRes!A357)</f>
        <v>357</v>
      </c>
      <c r="E893" t="s">
        <v>366</v>
      </c>
      <c r="F893" t="s">
        <v>367</v>
      </c>
      <c r="G893" t="s">
        <v>368</v>
      </c>
      <c r="H893" t="s">
        <v>155</v>
      </c>
      <c r="I893">
        <v>173.65</v>
      </c>
      <c r="J893">
        <v>0</v>
      </c>
      <c r="O893">
        <f>ROUND(CP893,2)</f>
        <v>10042.18</v>
      </c>
      <c r="P893">
        <f>ROUND(CQ893*I893,2)</f>
        <v>0</v>
      </c>
      <c r="Q893">
        <f>ROUND(CR893*I893,2)</f>
        <v>10042.18</v>
      </c>
      <c r="R893">
        <f>ROUND(CS893*I893,2)</f>
        <v>5459.56</v>
      </c>
      <c r="S893">
        <f>ROUND(CT893*I893,2)</f>
        <v>0</v>
      </c>
      <c r="T893">
        <f>ROUND(CU893*I893,2)</f>
        <v>0</v>
      </c>
      <c r="U893">
        <f>CV893*I893</f>
        <v>0</v>
      </c>
      <c r="V893">
        <f>CW893*I893</f>
        <v>0</v>
      </c>
      <c r="W893">
        <f>ROUND(CX893*I893,2)</f>
        <v>0</v>
      </c>
      <c r="X893">
        <f t="shared" si="401"/>
        <v>0</v>
      </c>
      <c r="Y893">
        <f t="shared" si="401"/>
        <v>0</v>
      </c>
      <c r="AA893">
        <v>38799519</v>
      </c>
      <c r="AB893">
        <f>ROUND((AC893+AD893+AF893),6)</f>
        <v>57.83</v>
      </c>
      <c r="AC893">
        <f>ROUND((ES893),6)</f>
        <v>0</v>
      </c>
      <c r="AD893">
        <f>ROUND((((ET893)-(EU893))+AE893),6)</f>
        <v>57.83</v>
      </c>
      <c r="AE893">
        <f>ROUND((EU893),6)</f>
        <v>31.44</v>
      </c>
      <c r="AF893">
        <f>ROUND((EV893),6)</f>
        <v>0</v>
      </c>
      <c r="AG893">
        <f>ROUND((AP893),6)</f>
        <v>0</v>
      </c>
      <c r="AH893">
        <f>(EW893)</f>
        <v>0</v>
      </c>
      <c r="AI893">
        <f>(EX893)</f>
        <v>0</v>
      </c>
      <c r="AJ893">
        <f>(AS893)</f>
        <v>0</v>
      </c>
      <c r="AK893">
        <v>57.83</v>
      </c>
      <c r="AL893">
        <v>0</v>
      </c>
      <c r="AM893">
        <v>57.83</v>
      </c>
      <c r="AN893">
        <v>31.44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1</v>
      </c>
      <c r="AW893">
        <v>1</v>
      </c>
      <c r="AZ893">
        <v>1</v>
      </c>
      <c r="BA893">
        <v>1</v>
      </c>
      <c r="BB893">
        <v>1</v>
      </c>
      <c r="BC893">
        <v>1</v>
      </c>
      <c r="BD893" t="s">
        <v>3</v>
      </c>
      <c r="BE893" t="s">
        <v>3</v>
      </c>
      <c r="BF893" t="s">
        <v>3</v>
      </c>
      <c r="BG893" t="s">
        <v>3</v>
      </c>
      <c r="BH893">
        <v>0</v>
      </c>
      <c r="BI893">
        <v>4</v>
      </c>
      <c r="BJ893" t="s">
        <v>369</v>
      </c>
      <c r="BM893">
        <v>1</v>
      </c>
      <c r="BN893">
        <v>0</v>
      </c>
      <c r="BO893" t="s">
        <v>3</v>
      </c>
      <c r="BP893">
        <v>0</v>
      </c>
      <c r="BQ893">
        <v>1</v>
      </c>
      <c r="BR893">
        <v>0</v>
      </c>
      <c r="BS893">
        <v>1</v>
      </c>
      <c r="BT893">
        <v>1</v>
      </c>
      <c r="BU893">
        <v>1</v>
      </c>
      <c r="BV893">
        <v>1</v>
      </c>
      <c r="BW893">
        <v>1</v>
      </c>
      <c r="BX893">
        <v>1</v>
      </c>
      <c r="BY893" t="s">
        <v>3</v>
      </c>
      <c r="BZ893">
        <v>0</v>
      </c>
      <c r="CA893">
        <v>0</v>
      </c>
      <c r="CE893">
        <v>0</v>
      </c>
      <c r="CF893">
        <v>0</v>
      </c>
      <c r="CG893">
        <v>0</v>
      </c>
      <c r="CM893">
        <v>0</v>
      </c>
      <c r="CN893" t="s">
        <v>3</v>
      </c>
      <c r="CO893">
        <v>0</v>
      </c>
      <c r="CP893">
        <f>(P893+Q893+S893)</f>
        <v>10042.18</v>
      </c>
      <c r="CQ893">
        <f>(AC893*BC893*AW893)</f>
        <v>0</v>
      </c>
      <c r="CR893">
        <f>((((ET893)*BB893-(EU893)*BS893)+AE893*BS893)*AV893)</f>
        <v>57.83</v>
      </c>
      <c r="CS893">
        <f>(AE893*BS893*AV893)</f>
        <v>31.44</v>
      </c>
      <c r="CT893">
        <f>(AF893*BA893*AV893)</f>
        <v>0</v>
      </c>
      <c r="CU893">
        <f>AG893</f>
        <v>0</v>
      </c>
      <c r="CV893">
        <f>(AH893*AV893)</f>
        <v>0</v>
      </c>
      <c r="CW893">
        <f t="shared" si="402"/>
        <v>0</v>
      </c>
      <c r="CX893">
        <f t="shared" si="402"/>
        <v>0</v>
      </c>
      <c r="CY893">
        <f>((S893*BZ893)/100)</f>
        <v>0</v>
      </c>
      <c r="CZ893">
        <f>((S893*CA893)/100)</f>
        <v>0</v>
      </c>
      <c r="DC893" t="s">
        <v>3</v>
      </c>
      <c r="DD893" t="s">
        <v>3</v>
      </c>
      <c r="DE893" t="s">
        <v>3</v>
      </c>
      <c r="DF893" t="s">
        <v>3</v>
      </c>
      <c r="DG893" t="s">
        <v>3</v>
      </c>
      <c r="DH893" t="s">
        <v>3</v>
      </c>
      <c r="DI893" t="s">
        <v>3</v>
      </c>
      <c r="DJ893" t="s">
        <v>3</v>
      </c>
      <c r="DK893" t="s">
        <v>3</v>
      </c>
      <c r="DL893" t="s">
        <v>3</v>
      </c>
      <c r="DM893" t="s">
        <v>3</v>
      </c>
      <c r="DN893">
        <v>0</v>
      </c>
      <c r="DO893">
        <v>0</v>
      </c>
      <c r="DP893">
        <v>1</v>
      </c>
      <c r="DQ893">
        <v>1</v>
      </c>
      <c r="DU893">
        <v>1009</v>
      </c>
      <c r="DV893" t="s">
        <v>155</v>
      </c>
      <c r="DW893" t="s">
        <v>155</v>
      </c>
      <c r="DX893">
        <v>1000</v>
      </c>
      <c r="EE893">
        <v>38447821</v>
      </c>
      <c r="EF893">
        <v>1</v>
      </c>
      <c r="EG893" t="s">
        <v>23</v>
      </c>
      <c r="EH893">
        <v>0</v>
      </c>
      <c r="EI893" t="s">
        <v>3</v>
      </c>
      <c r="EJ893">
        <v>4</v>
      </c>
      <c r="EK893">
        <v>1</v>
      </c>
      <c r="EL893" t="s">
        <v>370</v>
      </c>
      <c r="EM893" t="s">
        <v>25</v>
      </c>
      <c r="EO893" t="s">
        <v>3</v>
      </c>
      <c r="EQ893">
        <v>0</v>
      </c>
      <c r="ER893">
        <v>57.83</v>
      </c>
      <c r="ES893">
        <v>0</v>
      </c>
      <c r="ET893">
        <v>57.83</v>
      </c>
      <c r="EU893">
        <v>31.44</v>
      </c>
      <c r="EV893">
        <v>0</v>
      </c>
      <c r="EW893">
        <v>0</v>
      </c>
      <c r="EX893">
        <v>0</v>
      </c>
      <c r="EY893">
        <v>0</v>
      </c>
      <c r="FQ893">
        <v>0</v>
      </c>
      <c r="FR893">
        <f>ROUND(IF(AND(BH893=3,BI893=3),P893,0),2)</f>
        <v>0</v>
      </c>
      <c r="FS893">
        <v>0</v>
      </c>
      <c r="FX893">
        <v>0</v>
      </c>
      <c r="FY893">
        <v>0</v>
      </c>
      <c r="GA893" t="s">
        <v>3</v>
      </c>
      <c r="GD893">
        <v>1</v>
      </c>
      <c r="GF893">
        <v>-1870736679</v>
      </c>
      <c r="GG893">
        <v>2</v>
      </c>
      <c r="GH893">
        <v>1</v>
      </c>
      <c r="GI893">
        <v>-2</v>
      </c>
      <c r="GJ893">
        <v>0</v>
      </c>
      <c r="GK893">
        <v>0</v>
      </c>
      <c r="GL893">
        <f>ROUND(IF(AND(BH893=3,BI893=3,FS893&lt;&gt;0),P893,0),2)</f>
        <v>0</v>
      </c>
      <c r="GM893">
        <f>ROUND(O893+X893+Y893,2)+GX893</f>
        <v>10042.18</v>
      </c>
      <c r="GN893">
        <f>IF(OR(BI893=0,BI893=1),ROUND(O893+X893+Y893,2),0)</f>
        <v>0</v>
      </c>
      <c r="GO893">
        <f>IF(BI893=2,ROUND(O893+X893+Y893,2),0)</f>
        <v>0</v>
      </c>
      <c r="GP893">
        <f>IF(BI893=4,ROUND(O893+X893+Y893,2)+GX893,0)</f>
        <v>10042.18</v>
      </c>
      <c r="GR893">
        <v>0</v>
      </c>
      <c r="GS893">
        <v>3</v>
      </c>
      <c r="GT893">
        <v>0</v>
      </c>
      <c r="GU893" t="s">
        <v>3</v>
      </c>
      <c r="GV893">
        <f>ROUND((GT893),6)</f>
        <v>0</v>
      </c>
      <c r="GW893">
        <v>1</v>
      </c>
      <c r="GX893">
        <f>ROUND(HC893*I893,2)</f>
        <v>0</v>
      </c>
      <c r="HA893">
        <v>0</v>
      </c>
      <c r="HB893">
        <v>0</v>
      </c>
      <c r="HC893">
        <f>GV893*GW893</f>
        <v>0</v>
      </c>
      <c r="HE893" t="s">
        <v>3</v>
      </c>
      <c r="HF893" t="s">
        <v>3</v>
      </c>
      <c r="IK893">
        <v>0</v>
      </c>
    </row>
    <row r="894" spans="1:245" x14ac:dyDescent="0.2">
      <c r="A894">
        <v>17</v>
      </c>
      <c r="B894">
        <v>1</v>
      </c>
      <c r="C894">
        <f>ROW(SmtRes!A392)</f>
        <v>392</v>
      </c>
      <c r="D894">
        <f>ROW(EtalonRes!A359)</f>
        <v>359</v>
      </c>
      <c r="E894" t="s">
        <v>371</v>
      </c>
      <c r="F894" t="s">
        <v>372</v>
      </c>
      <c r="G894" t="s">
        <v>373</v>
      </c>
      <c r="H894" t="s">
        <v>155</v>
      </c>
      <c r="I894">
        <v>173.65</v>
      </c>
      <c r="J894">
        <v>0</v>
      </c>
      <c r="O894">
        <f>ROUND(CP894,2)</f>
        <v>133175.66</v>
      </c>
      <c r="P894">
        <f>ROUND(CQ894*I894,2)</f>
        <v>0</v>
      </c>
      <c r="Q894">
        <f>ROUND(CR894*I894,2)</f>
        <v>133175.66</v>
      </c>
      <c r="R894">
        <f>ROUND(CS894*I894,2)</f>
        <v>72398.16</v>
      </c>
      <c r="S894">
        <f>ROUND(CT894*I894,2)</f>
        <v>0</v>
      </c>
      <c r="T894">
        <f>ROUND(CU894*I894,2)</f>
        <v>0</v>
      </c>
      <c r="U894">
        <f>CV894*I894</f>
        <v>0</v>
      </c>
      <c r="V894">
        <f>CW894*I894</f>
        <v>0</v>
      </c>
      <c r="W894">
        <f>ROUND(CX894*I894,2)</f>
        <v>0</v>
      </c>
      <c r="X894">
        <f t="shared" si="401"/>
        <v>0</v>
      </c>
      <c r="Y894">
        <f t="shared" si="401"/>
        <v>0</v>
      </c>
      <c r="AA894">
        <v>38799519</v>
      </c>
      <c r="AB894">
        <f>ROUND((AC894+AD894+AF894),6)</f>
        <v>766.92</v>
      </c>
      <c r="AC894">
        <f>ROUND(((ES894*28)),6)</f>
        <v>0</v>
      </c>
      <c r="AD894">
        <f>ROUND(((((ET894*28))-((EU894*28)))+AE894),6)</f>
        <v>766.92</v>
      </c>
      <c r="AE894">
        <f>ROUND(((EU894*28)),6)</f>
        <v>416.92</v>
      </c>
      <c r="AF894">
        <f>ROUND(((EV894*28)),6)</f>
        <v>0</v>
      </c>
      <c r="AG894">
        <f>ROUND((AP894),6)</f>
        <v>0</v>
      </c>
      <c r="AH894">
        <f>((EW894*28))</f>
        <v>0</v>
      </c>
      <c r="AI894">
        <f>((EX894*28))</f>
        <v>0</v>
      </c>
      <c r="AJ894">
        <f>(AS894)</f>
        <v>0</v>
      </c>
      <c r="AK894">
        <v>27.39</v>
      </c>
      <c r="AL894">
        <v>0</v>
      </c>
      <c r="AM894">
        <v>27.39</v>
      </c>
      <c r="AN894">
        <v>14.89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1</v>
      </c>
      <c r="AW894">
        <v>1</v>
      </c>
      <c r="AZ894">
        <v>1</v>
      </c>
      <c r="BA894">
        <v>1</v>
      </c>
      <c r="BB894">
        <v>1</v>
      </c>
      <c r="BC894">
        <v>1</v>
      </c>
      <c r="BD894" t="s">
        <v>3</v>
      </c>
      <c r="BE894" t="s">
        <v>3</v>
      </c>
      <c r="BF894" t="s">
        <v>3</v>
      </c>
      <c r="BG894" t="s">
        <v>3</v>
      </c>
      <c r="BH894">
        <v>0</v>
      </c>
      <c r="BI894">
        <v>4</v>
      </c>
      <c r="BJ894" t="s">
        <v>374</v>
      </c>
      <c r="BM894">
        <v>1</v>
      </c>
      <c r="BN894">
        <v>0</v>
      </c>
      <c r="BO894" t="s">
        <v>3</v>
      </c>
      <c r="BP894">
        <v>0</v>
      </c>
      <c r="BQ894">
        <v>1</v>
      </c>
      <c r="BR894">
        <v>0</v>
      </c>
      <c r="BS894">
        <v>1</v>
      </c>
      <c r="BT894">
        <v>1</v>
      </c>
      <c r="BU894">
        <v>1</v>
      </c>
      <c r="BV894">
        <v>1</v>
      </c>
      <c r="BW894">
        <v>1</v>
      </c>
      <c r="BX894">
        <v>1</v>
      </c>
      <c r="BY894" t="s">
        <v>3</v>
      </c>
      <c r="BZ894">
        <v>0</v>
      </c>
      <c r="CA894">
        <v>0</v>
      </c>
      <c r="CE894">
        <v>0</v>
      </c>
      <c r="CF894">
        <v>0</v>
      </c>
      <c r="CG894">
        <v>0</v>
      </c>
      <c r="CM894">
        <v>0</v>
      </c>
      <c r="CN894" t="s">
        <v>3</v>
      </c>
      <c r="CO894">
        <v>0</v>
      </c>
      <c r="CP894">
        <f>(P894+Q894+S894)</f>
        <v>133175.66</v>
      </c>
      <c r="CQ894">
        <f>(AC894*BC894*AW894)</f>
        <v>0</v>
      </c>
      <c r="CR894">
        <f>(((((ET894*28))*BB894-((EU894*28))*BS894)+AE894*BS894)*AV894)</f>
        <v>766.92000000000007</v>
      </c>
      <c r="CS894">
        <f>(AE894*BS894*AV894)</f>
        <v>416.92</v>
      </c>
      <c r="CT894">
        <f>(AF894*BA894*AV894)</f>
        <v>0</v>
      </c>
      <c r="CU894">
        <f>AG894</f>
        <v>0</v>
      </c>
      <c r="CV894">
        <f>(AH894*AV894)</f>
        <v>0</v>
      </c>
      <c r="CW894">
        <f t="shared" si="402"/>
        <v>0</v>
      </c>
      <c r="CX894">
        <f t="shared" si="402"/>
        <v>0</v>
      </c>
      <c r="CY894">
        <f>((S894*BZ894)/100)</f>
        <v>0</v>
      </c>
      <c r="CZ894">
        <f>((S894*CA894)/100)</f>
        <v>0</v>
      </c>
      <c r="DC894" t="s">
        <v>3</v>
      </c>
      <c r="DD894" t="s">
        <v>375</v>
      </c>
      <c r="DE894" t="s">
        <v>375</v>
      </c>
      <c r="DF894" t="s">
        <v>375</v>
      </c>
      <c r="DG894" t="s">
        <v>375</v>
      </c>
      <c r="DH894" t="s">
        <v>3</v>
      </c>
      <c r="DI894" t="s">
        <v>375</v>
      </c>
      <c r="DJ894" t="s">
        <v>375</v>
      </c>
      <c r="DK894" t="s">
        <v>3</v>
      </c>
      <c r="DL894" t="s">
        <v>3</v>
      </c>
      <c r="DM894" t="s">
        <v>3</v>
      </c>
      <c r="DN894">
        <v>0</v>
      </c>
      <c r="DO894">
        <v>0</v>
      </c>
      <c r="DP894">
        <v>1</v>
      </c>
      <c r="DQ894">
        <v>1</v>
      </c>
      <c r="DU894">
        <v>1009</v>
      </c>
      <c r="DV894" t="s">
        <v>155</v>
      </c>
      <c r="DW894" t="s">
        <v>155</v>
      </c>
      <c r="DX894">
        <v>1000</v>
      </c>
      <c r="EE894">
        <v>38447821</v>
      </c>
      <c r="EF894">
        <v>1</v>
      </c>
      <c r="EG894" t="s">
        <v>23</v>
      </c>
      <c r="EH894">
        <v>0</v>
      </c>
      <c r="EI894" t="s">
        <v>3</v>
      </c>
      <c r="EJ894">
        <v>4</v>
      </c>
      <c r="EK894">
        <v>1</v>
      </c>
      <c r="EL894" t="s">
        <v>370</v>
      </c>
      <c r="EM894" t="s">
        <v>25</v>
      </c>
      <c r="EO894" t="s">
        <v>3</v>
      </c>
      <c r="EQ894">
        <v>0</v>
      </c>
      <c r="ER894">
        <v>27.39</v>
      </c>
      <c r="ES894">
        <v>0</v>
      </c>
      <c r="ET894">
        <v>27.39</v>
      </c>
      <c r="EU894">
        <v>14.89</v>
      </c>
      <c r="EV894">
        <v>0</v>
      </c>
      <c r="EW894">
        <v>0</v>
      </c>
      <c r="EX894">
        <v>0</v>
      </c>
      <c r="EY894">
        <v>0</v>
      </c>
      <c r="FQ894">
        <v>0</v>
      </c>
      <c r="FR894">
        <f>ROUND(IF(AND(BH894=3,BI894=3),P894,0),2)</f>
        <v>0</v>
      </c>
      <c r="FS894">
        <v>0</v>
      </c>
      <c r="FX894">
        <v>0</v>
      </c>
      <c r="FY894">
        <v>0</v>
      </c>
      <c r="GA894" t="s">
        <v>3</v>
      </c>
      <c r="GD894">
        <v>1</v>
      </c>
      <c r="GF894">
        <v>972108674</v>
      </c>
      <c r="GG894">
        <v>2</v>
      </c>
      <c r="GH894">
        <v>1</v>
      </c>
      <c r="GI894">
        <v>-2</v>
      </c>
      <c r="GJ894">
        <v>0</v>
      </c>
      <c r="GK894">
        <v>0</v>
      </c>
      <c r="GL894">
        <f>ROUND(IF(AND(BH894=3,BI894=3,FS894&lt;&gt;0),P894,0),2)</f>
        <v>0</v>
      </c>
      <c r="GM894">
        <f>ROUND(O894+X894+Y894,2)+GX894</f>
        <v>133175.66</v>
      </c>
      <c r="GN894">
        <f>IF(OR(BI894=0,BI894=1),ROUND(O894+X894+Y894,2),0)</f>
        <v>0</v>
      </c>
      <c r="GO894">
        <f>IF(BI894=2,ROUND(O894+X894+Y894,2),0)</f>
        <v>0</v>
      </c>
      <c r="GP894">
        <f>IF(BI894=4,ROUND(O894+X894+Y894,2)+GX894,0)</f>
        <v>133175.66</v>
      </c>
      <c r="GR894">
        <v>0</v>
      </c>
      <c r="GS894">
        <v>3</v>
      </c>
      <c r="GT894">
        <v>0</v>
      </c>
      <c r="GU894" t="s">
        <v>375</v>
      </c>
      <c r="GV894">
        <f>ROUND(((GT894*28)),6)</f>
        <v>0</v>
      </c>
      <c r="GW894">
        <v>1</v>
      </c>
      <c r="GX894">
        <f>ROUND(HC894*I894,2)</f>
        <v>0</v>
      </c>
      <c r="HA894">
        <v>0</v>
      </c>
      <c r="HB894">
        <v>0</v>
      </c>
      <c r="HC894">
        <f>GV894*GW894</f>
        <v>0</v>
      </c>
      <c r="HE894" t="s">
        <v>3</v>
      </c>
      <c r="HF894" t="s">
        <v>3</v>
      </c>
      <c r="IK894">
        <v>0</v>
      </c>
    </row>
    <row r="896" spans="1:245" x14ac:dyDescent="0.2">
      <c r="A896" s="2">
        <v>51</v>
      </c>
      <c r="B896" s="2">
        <f>B888</f>
        <v>1</v>
      </c>
      <c r="C896" s="2">
        <f>A888</f>
        <v>4</v>
      </c>
      <c r="D896" s="2">
        <f>ROW(A888)</f>
        <v>888</v>
      </c>
      <c r="E896" s="2"/>
      <c r="F896" s="2" t="str">
        <f>IF(F888&lt;&gt;"",F888,"")</f>
        <v>Новый раздел</v>
      </c>
      <c r="G896" s="2" t="str">
        <f>IF(G888&lt;&gt;"",G888,"")</f>
        <v>Мусор</v>
      </c>
      <c r="H896" s="2">
        <v>0</v>
      </c>
      <c r="I896" s="2"/>
      <c r="J896" s="2"/>
      <c r="K896" s="2"/>
      <c r="L896" s="2"/>
      <c r="M896" s="2"/>
      <c r="N896" s="2"/>
      <c r="O896" s="2">
        <f t="shared" ref="O896:T896" si="403">ROUND(AB896,2)</f>
        <v>157153.25</v>
      </c>
      <c r="P896" s="2">
        <f t="shared" si="403"/>
        <v>0</v>
      </c>
      <c r="Q896" s="2">
        <f t="shared" si="403"/>
        <v>157153.25</v>
      </c>
      <c r="R896" s="2">
        <f t="shared" si="403"/>
        <v>82344.84</v>
      </c>
      <c r="S896" s="2">
        <f t="shared" si="403"/>
        <v>0</v>
      </c>
      <c r="T896" s="2">
        <f t="shared" si="403"/>
        <v>0</v>
      </c>
      <c r="U896" s="2">
        <f>AH896</f>
        <v>0</v>
      </c>
      <c r="V896" s="2">
        <f>AI896</f>
        <v>0</v>
      </c>
      <c r="W896" s="2">
        <f>ROUND(AJ896,2)</f>
        <v>0</v>
      </c>
      <c r="X896" s="2">
        <f>ROUND(AK896,2)</f>
        <v>0</v>
      </c>
      <c r="Y896" s="2">
        <f>ROUND(AL896,2)</f>
        <v>0</v>
      </c>
      <c r="Z896" s="2"/>
      <c r="AA896" s="2"/>
      <c r="AB896" s="2">
        <f>ROUND(SUMIF(AA892:AA894,"=38799519",O892:O894),2)</f>
        <v>157153.25</v>
      </c>
      <c r="AC896" s="2">
        <f>ROUND(SUMIF(AA892:AA894,"=38799519",P892:P894),2)</f>
        <v>0</v>
      </c>
      <c r="AD896" s="2">
        <f>ROUND(SUMIF(AA892:AA894,"=38799519",Q892:Q894),2)</f>
        <v>157153.25</v>
      </c>
      <c r="AE896" s="2">
        <f>ROUND(SUMIF(AA892:AA894,"=38799519",R892:R894),2)</f>
        <v>82344.84</v>
      </c>
      <c r="AF896" s="2">
        <f>ROUND(SUMIF(AA892:AA894,"=38799519",S892:S894),2)</f>
        <v>0</v>
      </c>
      <c r="AG896" s="2">
        <f>ROUND(SUMIF(AA892:AA894,"=38799519",T892:T894),2)</f>
        <v>0</v>
      </c>
      <c r="AH896" s="2">
        <f>SUMIF(AA892:AA894,"=38799519",U892:U894)</f>
        <v>0</v>
      </c>
      <c r="AI896" s="2">
        <f>SUMIF(AA892:AA894,"=38799519",V892:V894)</f>
        <v>0</v>
      </c>
      <c r="AJ896" s="2">
        <f>ROUND(SUMIF(AA892:AA894,"=38799519",W892:W894),2)</f>
        <v>0</v>
      </c>
      <c r="AK896" s="2">
        <f>ROUND(SUMIF(AA892:AA894,"=38799519",X892:X894),2)</f>
        <v>0</v>
      </c>
      <c r="AL896" s="2">
        <f>ROUND(SUMIF(AA892:AA894,"=38799519",Y892:Y894),2)</f>
        <v>0</v>
      </c>
      <c r="AM896" s="2"/>
      <c r="AN896" s="2"/>
      <c r="AO896" s="2">
        <f t="shared" ref="AO896:BD896" si="404">ROUND(BX896,2)</f>
        <v>0</v>
      </c>
      <c r="AP896" s="2">
        <f t="shared" si="404"/>
        <v>0</v>
      </c>
      <c r="AQ896" s="2">
        <f t="shared" si="404"/>
        <v>0</v>
      </c>
      <c r="AR896" s="2">
        <f t="shared" si="404"/>
        <v>161999.34</v>
      </c>
      <c r="AS896" s="2">
        <f t="shared" si="404"/>
        <v>0</v>
      </c>
      <c r="AT896" s="2">
        <f t="shared" si="404"/>
        <v>0</v>
      </c>
      <c r="AU896" s="2">
        <f t="shared" si="404"/>
        <v>161999.34</v>
      </c>
      <c r="AV896" s="2">
        <f t="shared" si="404"/>
        <v>0</v>
      </c>
      <c r="AW896" s="2">
        <f t="shared" si="404"/>
        <v>0</v>
      </c>
      <c r="AX896" s="2">
        <f t="shared" si="404"/>
        <v>0</v>
      </c>
      <c r="AY896" s="2">
        <f t="shared" si="404"/>
        <v>0</v>
      </c>
      <c r="AZ896" s="2">
        <f t="shared" si="404"/>
        <v>0</v>
      </c>
      <c r="BA896" s="2">
        <f t="shared" si="404"/>
        <v>0</v>
      </c>
      <c r="BB896" s="2">
        <f t="shared" si="404"/>
        <v>0</v>
      </c>
      <c r="BC896" s="2">
        <f t="shared" si="404"/>
        <v>0</v>
      </c>
      <c r="BD896" s="2">
        <f t="shared" si="404"/>
        <v>0</v>
      </c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>
        <f>ROUND(SUMIF(AA892:AA894,"=38799519",FQ892:FQ894),2)</f>
        <v>0</v>
      </c>
      <c r="BY896" s="2">
        <f>ROUND(SUMIF(AA892:AA894,"=38799519",FR892:FR894),2)</f>
        <v>0</v>
      </c>
      <c r="BZ896" s="2">
        <f>ROUND(SUMIF(AA892:AA894,"=38799519",GL892:GL894),2)</f>
        <v>0</v>
      </c>
      <c r="CA896" s="2">
        <f>ROUND(SUMIF(AA892:AA894,"=38799519",GM892:GM894),2)</f>
        <v>161999.34</v>
      </c>
      <c r="CB896" s="2">
        <f>ROUND(SUMIF(AA892:AA894,"=38799519",GN892:GN894),2)</f>
        <v>0</v>
      </c>
      <c r="CC896" s="2">
        <f>ROUND(SUMIF(AA892:AA894,"=38799519",GO892:GO894),2)</f>
        <v>0</v>
      </c>
      <c r="CD896" s="2">
        <f>ROUND(SUMIF(AA892:AA894,"=38799519",GP892:GP894),2)</f>
        <v>161999.34</v>
      </c>
      <c r="CE896" s="2">
        <f>AC896-BX896</f>
        <v>0</v>
      </c>
      <c r="CF896" s="2">
        <f>AC896-BY896</f>
        <v>0</v>
      </c>
      <c r="CG896" s="2">
        <f>BX896-BZ896</f>
        <v>0</v>
      </c>
      <c r="CH896" s="2">
        <f>AC896-BX896-BY896+BZ896</f>
        <v>0</v>
      </c>
      <c r="CI896" s="2">
        <f>BY896-BZ896</f>
        <v>0</v>
      </c>
      <c r="CJ896" s="2">
        <f>ROUND(SUMIF(AA892:AA894,"=38799519",GX892:GX894),2)</f>
        <v>0</v>
      </c>
      <c r="CK896" s="2">
        <f>ROUND(SUMIF(AA892:AA894,"=38799519",GY892:GY894),2)</f>
        <v>0</v>
      </c>
      <c r="CL896" s="2">
        <f>ROUND(SUMIF(AA892:AA894,"=38799519",GZ892:GZ894),2)</f>
        <v>0</v>
      </c>
      <c r="CM896" s="2">
        <f>ROUND(SUMIF(AA892:AA894,"=38799519",HD892:HD894),2)</f>
        <v>0</v>
      </c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3"/>
      <c r="DH896" s="3"/>
      <c r="DI896" s="3"/>
      <c r="DJ896" s="3"/>
      <c r="DK896" s="3"/>
      <c r="DL896" s="3"/>
      <c r="DM896" s="3"/>
      <c r="DN896" s="3"/>
      <c r="DO896" s="3"/>
      <c r="DP896" s="3"/>
      <c r="DQ896" s="3"/>
      <c r="DR896" s="3"/>
      <c r="DS896" s="3"/>
      <c r="DT896" s="3"/>
      <c r="DU896" s="3"/>
      <c r="DV896" s="3"/>
      <c r="DW896" s="3"/>
      <c r="DX896" s="3"/>
      <c r="DY896" s="3"/>
      <c r="DZ896" s="3"/>
      <c r="EA896" s="3"/>
      <c r="EB896" s="3"/>
      <c r="EC896" s="3"/>
      <c r="ED896" s="3"/>
      <c r="EE896" s="3"/>
      <c r="EF896" s="3"/>
      <c r="EG896" s="3"/>
      <c r="EH896" s="3"/>
      <c r="EI896" s="3"/>
      <c r="EJ896" s="3"/>
      <c r="EK896" s="3"/>
      <c r="EL896" s="3"/>
      <c r="EM896" s="3"/>
      <c r="EN896" s="3"/>
      <c r="EO896" s="3"/>
      <c r="EP896" s="3"/>
      <c r="EQ896" s="3"/>
      <c r="ER896" s="3"/>
      <c r="ES896" s="3"/>
      <c r="ET896" s="3"/>
      <c r="EU896" s="3"/>
      <c r="EV896" s="3"/>
      <c r="EW896" s="3"/>
      <c r="EX896" s="3"/>
      <c r="EY896" s="3"/>
      <c r="EZ896" s="3"/>
      <c r="FA896" s="3"/>
      <c r="FB896" s="3"/>
      <c r="FC896" s="3"/>
      <c r="FD896" s="3"/>
      <c r="FE896" s="3"/>
      <c r="FF896" s="3"/>
      <c r="FG896" s="3"/>
      <c r="FH896" s="3"/>
      <c r="FI896" s="3"/>
      <c r="FJ896" s="3"/>
      <c r="FK896" s="3"/>
      <c r="FL896" s="3"/>
      <c r="FM896" s="3"/>
      <c r="FN896" s="3"/>
      <c r="FO896" s="3"/>
      <c r="FP896" s="3"/>
      <c r="FQ896" s="3"/>
      <c r="FR896" s="3"/>
      <c r="FS896" s="3"/>
      <c r="FT896" s="3"/>
      <c r="FU896" s="3"/>
      <c r="FV896" s="3"/>
      <c r="FW896" s="3"/>
      <c r="FX896" s="3"/>
      <c r="FY896" s="3"/>
      <c r="FZ896" s="3"/>
      <c r="GA896" s="3"/>
      <c r="GB896" s="3"/>
      <c r="GC896" s="3"/>
      <c r="GD896" s="3"/>
      <c r="GE896" s="3"/>
      <c r="GF896" s="3"/>
      <c r="GG896" s="3"/>
      <c r="GH896" s="3"/>
      <c r="GI896" s="3"/>
      <c r="GJ896" s="3"/>
      <c r="GK896" s="3"/>
      <c r="GL896" s="3"/>
      <c r="GM896" s="3"/>
      <c r="GN896" s="3"/>
      <c r="GO896" s="3"/>
      <c r="GP896" s="3"/>
      <c r="GQ896" s="3"/>
      <c r="GR896" s="3"/>
      <c r="GS896" s="3"/>
      <c r="GT896" s="3"/>
      <c r="GU896" s="3"/>
      <c r="GV896" s="3"/>
      <c r="GW896" s="3"/>
      <c r="GX896" s="3">
        <v>0</v>
      </c>
    </row>
    <row r="898" spans="1:23" x14ac:dyDescent="0.2">
      <c r="A898" s="4">
        <v>50</v>
      </c>
      <c r="B898" s="4">
        <v>0</v>
      </c>
      <c r="C898" s="4">
        <v>0</v>
      </c>
      <c r="D898" s="4">
        <v>1</v>
      </c>
      <c r="E898" s="4">
        <v>201</v>
      </c>
      <c r="F898" s="4">
        <f>ROUND(Source!O896,O898)</f>
        <v>157153.25</v>
      </c>
      <c r="G898" s="4" t="s">
        <v>50</v>
      </c>
      <c r="H898" s="4" t="s">
        <v>51</v>
      </c>
      <c r="I898" s="4"/>
      <c r="J898" s="4"/>
      <c r="K898" s="4">
        <v>201</v>
      </c>
      <c r="L898" s="4">
        <v>1</v>
      </c>
      <c r="M898" s="4">
        <v>3</v>
      </c>
      <c r="N898" s="4" t="s">
        <v>3</v>
      </c>
      <c r="O898" s="4">
        <v>2</v>
      </c>
      <c r="P898" s="4"/>
      <c r="Q898" s="4"/>
      <c r="R898" s="4"/>
      <c r="S898" s="4"/>
      <c r="T898" s="4"/>
      <c r="U898" s="4"/>
      <c r="V898" s="4"/>
      <c r="W898" s="4"/>
    </row>
    <row r="899" spans="1:23" x14ac:dyDescent="0.2">
      <c r="A899" s="4">
        <v>50</v>
      </c>
      <c r="B899" s="4">
        <v>0</v>
      </c>
      <c r="C899" s="4">
        <v>0</v>
      </c>
      <c r="D899" s="4">
        <v>1</v>
      </c>
      <c r="E899" s="4">
        <v>202</v>
      </c>
      <c r="F899" s="4">
        <f>ROUND(Source!P896,O899)</f>
        <v>0</v>
      </c>
      <c r="G899" s="4" t="s">
        <v>52</v>
      </c>
      <c r="H899" s="4" t="s">
        <v>53</v>
      </c>
      <c r="I899" s="4"/>
      <c r="J899" s="4"/>
      <c r="K899" s="4">
        <v>202</v>
      </c>
      <c r="L899" s="4">
        <v>2</v>
      </c>
      <c r="M899" s="4">
        <v>3</v>
      </c>
      <c r="N899" s="4" t="s">
        <v>3</v>
      </c>
      <c r="O899" s="4">
        <v>2</v>
      </c>
      <c r="P899" s="4"/>
      <c r="Q899" s="4"/>
      <c r="R899" s="4"/>
      <c r="S899" s="4"/>
      <c r="T899" s="4"/>
      <c r="U899" s="4"/>
      <c r="V899" s="4"/>
      <c r="W899" s="4"/>
    </row>
    <row r="900" spans="1:23" x14ac:dyDescent="0.2">
      <c r="A900" s="4">
        <v>50</v>
      </c>
      <c r="B900" s="4">
        <v>0</v>
      </c>
      <c r="C900" s="4">
        <v>0</v>
      </c>
      <c r="D900" s="4">
        <v>1</v>
      </c>
      <c r="E900" s="4">
        <v>222</v>
      </c>
      <c r="F900" s="4">
        <f>ROUND(Source!AO896,O900)</f>
        <v>0</v>
      </c>
      <c r="G900" s="4" t="s">
        <v>54</v>
      </c>
      <c r="H900" s="4" t="s">
        <v>55</v>
      </c>
      <c r="I900" s="4"/>
      <c r="J900" s="4"/>
      <c r="K900" s="4">
        <v>222</v>
      </c>
      <c r="L900" s="4">
        <v>3</v>
      </c>
      <c r="M900" s="4">
        <v>3</v>
      </c>
      <c r="N900" s="4" t="s">
        <v>3</v>
      </c>
      <c r="O900" s="4">
        <v>2</v>
      </c>
      <c r="P900" s="4"/>
      <c r="Q900" s="4"/>
      <c r="R900" s="4"/>
      <c r="S900" s="4"/>
      <c r="T900" s="4"/>
      <c r="U900" s="4"/>
      <c r="V900" s="4"/>
      <c r="W900" s="4"/>
    </row>
    <row r="901" spans="1:23" x14ac:dyDescent="0.2">
      <c r="A901" s="4">
        <v>50</v>
      </c>
      <c r="B901" s="4">
        <v>0</v>
      </c>
      <c r="C901" s="4">
        <v>0</v>
      </c>
      <c r="D901" s="4">
        <v>1</v>
      </c>
      <c r="E901" s="4">
        <v>225</v>
      </c>
      <c r="F901" s="4">
        <f>ROUND(Source!AV896,O901)</f>
        <v>0</v>
      </c>
      <c r="G901" s="4" t="s">
        <v>56</v>
      </c>
      <c r="H901" s="4" t="s">
        <v>57</v>
      </c>
      <c r="I901" s="4"/>
      <c r="J901" s="4"/>
      <c r="K901" s="4">
        <v>225</v>
      </c>
      <c r="L901" s="4">
        <v>4</v>
      </c>
      <c r="M901" s="4">
        <v>3</v>
      </c>
      <c r="N901" s="4" t="s">
        <v>3</v>
      </c>
      <c r="O901" s="4">
        <v>2</v>
      </c>
      <c r="P901" s="4"/>
      <c r="Q901" s="4"/>
      <c r="R901" s="4"/>
      <c r="S901" s="4"/>
      <c r="T901" s="4"/>
      <c r="U901" s="4"/>
      <c r="V901" s="4"/>
      <c r="W901" s="4"/>
    </row>
    <row r="902" spans="1:23" x14ac:dyDescent="0.2">
      <c r="A902" s="4">
        <v>50</v>
      </c>
      <c r="B902" s="4">
        <v>0</v>
      </c>
      <c r="C902" s="4">
        <v>0</v>
      </c>
      <c r="D902" s="4">
        <v>1</v>
      </c>
      <c r="E902" s="4">
        <v>226</v>
      </c>
      <c r="F902" s="4">
        <f>ROUND(Source!AW896,O902)</f>
        <v>0</v>
      </c>
      <c r="G902" s="4" t="s">
        <v>58</v>
      </c>
      <c r="H902" s="4" t="s">
        <v>59</v>
      </c>
      <c r="I902" s="4"/>
      <c r="J902" s="4"/>
      <c r="K902" s="4">
        <v>226</v>
      </c>
      <c r="L902" s="4">
        <v>5</v>
      </c>
      <c r="M902" s="4">
        <v>3</v>
      </c>
      <c r="N902" s="4" t="s">
        <v>3</v>
      </c>
      <c r="O902" s="4">
        <v>2</v>
      </c>
      <c r="P902" s="4"/>
      <c r="Q902" s="4"/>
      <c r="R902" s="4"/>
      <c r="S902" s="4"/>
      <c r="T902" s="4"/>
      <c r="U902" s="4"/>
      <c r="V902" s="4"/>
      <c r="W902" s="4"/>
    </row>
    <row r="903" spans="1:23" x14ac:dyDescent="0.2">
      <c r="A903" s="4">
        <v>50</v>
      </c>
      <c r="B903" s="4">
        <v>0</v>
      </c>
      <c r="C903" s="4">
        <v>0</v>
      </c>
      <c r="D903" s="4">
        <v>1</v>
      </c>
      <c r="E903" s="4">
        <v>227</v>
      </c>
      <c r="F903" s="4">
        <f>ROUND(Source!AX896,O903)</f>
        <v>0</v>
      </c>
      <c r="G903" s="4" t="s">
        <v>60</v>
      </c>
      <c r="H903" s="4" t="s">
        <v>61</v>
      </c>
      <c r="I903" s="4"/>
      <c r="J903" s="4"/>
      <c r="K903" s="4">
        <v>227</v>
      </c>
      <c r="L903" s="4">
        <v>6</v>
      </c>
      <c r="M903" s="4">
        <v>3</v>
      </c>
      <c r="N903" s="4" t="s">
        <v>3</v>
      </c>
      <c r="O903" s="4">
        <v>2</v>
      </c>
      <c r="P903" s="4"/>
      <c r="Q903" s="4"/>
      <c r="R903" s="4"/>
      <c r="S903" s="4"/>
      <c r="T903" s="4"/>
      <c r="U903" s="4"/>
      <c r="V903" s="4"/>
      <c r="W903" s="4"/>
    </row>
    <row r="904" spans="1:23" x14ac:dyDescent="0.2">
      <c r="A904" s="4">
        <v>50</v>
      </c>
      <c r="B904" s="4">
        <v>0</v>
      </c>
      <c r="C904" s="4">
        <v>0</v>
      </c>
      <c r="D904" s="4">
        <v>1</v>
      </c>
      <c r="E904" s="4">
        <v>228</v>
      </c>
      <c r="F904" s="4">
        <f>ROUND(Source!AY896,O904)</f>
        <v>0</v>
      </c>
      <c r="G904" s="4" t="s">
        <v>62</v>
      </c>
      <c r="H904" s="4" t="s">
        <v>63</v>
      </c>
      <c r="I904" s="4"/>
      <c r="J904" s="4"/>
      <c r="K904" s="4">
        <v>228</v>
      </c>
      <c r="L904" s="4">
        <v>7</v>
      </c>
      <c r="M904" s="4">
        <v>3</v>
      </c>
      <c r="N904" s="4" t="s">
        <v>3</v>
      </c>
      <c r="O904" s="4">
        <v>2</v>
      </c>
      <c r="P904" s="4"/>
      <c r="Q904" s="4"/>
      <c r="R904" s="4"/>
      <c r="S904" s="4"/>
      <c r="T904" s="4"/>
      <c r="U904" s="4"/>
      <c r="V904" s="4"/>
      <c r="W904" s="4"/>
    </row>
    <row r="905" spans="1:23" x14ac:dyDescent="0.2">
      <c r="A905" s="4">
        <v>50</v>
      </c>
      <c r="B905" s="4">
        <v>0</v>
      </c>
      <c r="C905" s="4">
        <v>0</v>
      </c>
      <c r="D905" s="4">
        <v>1</v>
      </c>
      <c r="E905" s="4">
        <v>216</v>
      </c>
      <c r="F905" s="4">
        <f>ROUND(Source!AP896,O905)</f>
        <v>0</v>
      </c>
      <c r="G905" s="4" t="s">
        <v>64</v>
      </c>
      <c r="H905" s="4" t="s">
        <v>65</v>
      </c>
      <c r="I905" s="4"/>
      <c r="J905" s="4"/>
      <c r="K905" s="4">
        <v>216</v>
      </c>
      <c r="L905" s="4">
        <v>8</v>
      </c>
      <c r="M905" s="4">
        <v>3</v>
      </c>
      <c r="N905" s="4" t="s">
        <v>3</v>
      </c>
      <c r="O905" s="4">
        <v>2</v>
      </c>
      <c r="P905" s="4"/>
      <c r="Q905" s="4"/>
      <c r="R905" s="4"/>
      <c r="S905" s="4"/>
      <c r="T905" s="4"/>
      <c r="U905" s="4"/>
      <c r="V905" s="4"/>
      <c r="W905" s="4"/>
    </row>
    <row r="906" spans="1:23" x14ac:dyDescent="0.2">
      <c r="A906" s="4">
        <v>50</v>
      </c>
      <c r="B906" s="4">
        <v>0</v>
      </c>
      <c r="C906" s="4">
        <v>0</v>
      </c>
      <c r="D906" s="4">
        <v>1</v>
      </c>
      <c r="E906" s="4">
        <v>223</v>
      </c>
      <c r="F906" s="4">
        <f>ROUND(Source!AQ896,O906)</f>
        <v>0</v>
      </c>
      <c r="G906" s="4" t="s">
        <v>66</v>
      </c>
      <c r="H906" s="4" t="s">
        <v>67</v>
      </c>
      <c r="I906" s="4"/>
      <c r="J906" s="4"/>
      <c r="K906" s="4">
        <v>223</v>
      </c>
      <c r="L906" s="4">
        <v>9</v>
      </c>
      <c r="M906" s="4">
        <v>3</v>
      </c>
      <c r="N906" s="4" t="s">
        <v>3</v>
      </c>
      <c r="O906" s="4">
        <v>2</v>
      </c>
      <c r="P906" s="4"/>
      <c r="Q906" s="4"/>
      <c r="R906" s="4"/>
      <c r="S906" s="4"/>
      <c r="T906" s="4"/>
      <c r="U906" s="4"/>
      <c r="V906" s="4"/>
      <c r="W906" s="4"/>
    </row>
    <row r="907" spans="1:23" x14ac:dyDescent="0.2">
      <c r="A907" s="4">
        <v>50</v>
      </c>
      <c r="B907" s="4">
        <v>0</v>
      </c>
      <c r="C907" s="4">
        <v>0</v>
      </c>
      <c r="D907" s="4">
        <v>1</v>
      </c>
      <c r="E907" s="4">
        <v>229</v>
      </c>
      <c r="F907" s="4">
        <f>ROUND(Source!AZ896,O907)</f>
        <v>0</v>
      </c>
      <c r="G907" s="4" t="s">
        <v>68</v>
      </c>
      <c r="H907" s="4" t="s">
        <v>69</v>
      </c>
      <c r="I907" s="4"/>
      <c r="J907" s="4"/>
      <c r="K907" s="4">
        <v>229</v>
      </c>
      <c r="L907" s="4">
        <v>10</v>
      </c>
      <c r="M907" s="4">
        <v>3</v>
      </c>
      <c r="N907" s="4" t="s">
        <v>3</v>
      </c>
      <c r="O907" s="4">
        <v>2</v>
      </c>
      <c r="P907" s="4"/>
      <c r="Q907" s="4"/>
      <c r="R907" s="4"/>
      <c r="S907" s="4"/>
      <c r="T907" s="4"/>
      <c r="U907" s="4"/>
      <c r="V907" s="4"/>
      <c r="W907" s="4"/>
    </row>
    <row r="908" spans="1:23" x14ac:dyDescent="0.2">
      <c r="A908" s="4">
        <v>50</v>
      </c>
      <c r="B908" s="4">
        <v>0</v>
      </c>
      <c r="C908" s="4">
        <v>0</v>
      </c>
      <c r="D908" s="4">
        <v>1</v>
      </c>
      <c r="E908" s="4">
        <v>203</v>
      </c>
      <c r="F908" s="4">
        <f>ROUND(Source!Q896,O908)</f>
        <v>157153.25</v>
      </c>
      <c r="G908" s="4" t="s">
        <v>70</v>
      </c>
      <c r="H908" s="4" t="s">
        <v>71</v>
      </c>
      <c r="I908" s="4"/>
      <c r="J908" s="4"/>
      <c r="K908" s="4">
        <v>203</v>
      </c>
      <c r="L908" s="4">
        <v>11</v>
      </c>
      <c r="M908" s="4">
        <v>3</v>
      </c>
      <c r="N908" s="4" t="s">
        <v>3</v>
      </c>
      <c r="O908" s="4">
        <v>2</v>
      </c>
      <c r="P908" s="4"/>
      <c r="Q908" s="4"/>
      <c r="R908" s="4"/>
      <c r="S908" s="4"/>
      <c r="T908" s="4"/>
      <c r="U908" s="4"/>
      <c r="V908" s="4"/>
      <c r="W908" s="4"/>
    </row>
    <row r="909" spans="1:23" x14ac:dyDescent="0.2">
      <c r="A909" s="4">
        <v>50</v>
      </c>
      <c r="B909" s="4">
        <v>0</v>
      </c>
      <c r="C909" s="4">
        <v>0</v>
      </c>
      <c r="D909" s="4">
        <v>1</v>
      </c>
      <c r="E909" s="4">
        <v>231</v>
      </c>
      <c r="F909" s="4">
        <f>ROUND(Source!BB896,O909)</f>
        <v>0</v>
      </c>
      <c r="G909" s="4" t="s">
        <v>72</v>
      </c>
      <c r="H909" s="4" t="s">
        <v>73</v>
      </c>
      <c r="I909" s="4"/>
      <c r="J909" s="4"/>
      <c r="K909" s="4">
        <v>231</v>
      </c>
      <c r="L909" s="4">
        <v>12</v>
      </c>
      <c r="M909" s="4">
        <v>3</v>
      </c>
      <c r="N909" s="4" t="s">
        <v>3</v>
      </c>
      <c r="O909" s="4">
        <v>2</v>
      </c>
      <c r="P909" s="4"/>
      <c r="Q909" s="4"/>
      <c r="R909" s="4"/>
      <c r="S909" s="4"/>
      <c r="T909" s="4"/>
      <c r="U909" s="4"/>
      <c r="V909" s="4"/>
      <c r="W909" s="4"/>
    </row>
    <row r="910" spans="1:23" x14ac:dyDescent="0.2">
      <c r="A910" s="4">
        <v>50</v>
      </c>
      <c r="B910" s="4">
        <v>0</v>
      </c>
      <c r="C910" s="4">
        <v>0</v>
      </c>
      <c r="D910" s="4">
        <v>1</v>
      </c>
      <c r="E910" s="4">
        <v>204</v>
      </c>
      <c r="F910" s="4">
        <f>ROUND(Source!R896,O910)</f>
        <v>82344.84</v>
      </c>
      <c r="G910" s="4" t="s">
        <v>74</v>
      </c>
      <c r="H910" s="4" t="s">
        <v>75</v>
      </c>
      <c r="I910" s="4"/>
      <c r="J910" s="4"/>
      <c r="K910" s="4">
        <v>204</v>
      </c>
      <c r="L910" s="4">
        <v>13</v>
      </c>
      <c r="M910" s="4">
        <v>3</v>
      </c>
      <c r="N910" s="4" t="s">
        <v>3</v>
      </c>
      <c r="O910" s="4">
        <v>2</v>
      </c>
      <c r="P910" s="4"/>
      <c r="Q910" s="4"/>
      <c r="R910" s="4"/>
      <c r="S910" s="4"/>
      <c r="T910" s="4"/>
      <c r="U910" s="4"/>
      <c r="V910" s="4"/>
      <c r="W910" s="4"/>
    </row>
    <row r="911" spans="1:23" x14ac:dyDescent="0.2">
      <c r="A911" s="4">
        <v>50</v>
      </c>
      <c r="B911" s="4">
        <v>0</v>
      </c>
      <c r="C911" s="4">
        <v>0</v>
      </c>
      <c r="D911" s="4">
        <v>1</v>
      </c>
      <c r="E911" s="4">
        <v>205</v>
      </c>
      <c r="F911" s="4">
        <f>ROUND(Source!S896,O911)</f>
        <v>0</v>
      </c>
      <c r="G911" s="4" t="s">
        <v>76</v>
      </c>
      <c r="H911" s="4" t="s">
        <v>77</v>
      </c>
      <c r="I911" s="4"/>
      <c r="J911" s="4"/>
      <c r="K911" s="4">
        <v>205</v>
      </c>
      <c r="L911" s="4">
        <v>14</v>
      </c>
      <c r="M911" s="4">
        <v>3</v>
      </c>
      <c r="N911" s="4" t="s">
        <v>3</v>
      </c>
      <c r="O911" s="4">
        <v>2</v>
      </c>
      <c r="P911" s="4"/>
      <c r="Q911" s="4"/>
      <c r="R911" s="4"/>
      <c r="S911" s="4"/>
      <c r="T911" s="4"/>
      <c r="U911" s="4"/>
      <c r="V911" s="4"/>
      <c r="W911" s="4"/>
    </row>
    <row r="912" spans="1:23" x14ac:dyDescent="0.2">
      <c r="A912" s="4">
        <v>50</v>
      </c>
      <c r="B912" s="4">
        <v>0</v>
      </c>
      <c r="C912" s="4">
        <v>0</v>
      </c>
      <c r="D912" s="4">
        <v>1</v>
      </c>
      <c r="E912" s="4">
        <v>232</v>
      </c>
      <c r="F912" s="4">
        <f>ROUND(Source!BC896,O912)</f>
        <v>0</v>
      </c>
      <c r="G912" s="4" t="s">
        <v>78</v>
      </c>
      <c r="H912" s="4" t="s">
        <v>79</v>
      </c>
      <c r="I912" s="4"/>
      <c r="J912" s="4"/>
      <c r="K912" s="4">
        <v>232</v>
      </c>
      <c r="L912" s="4">
        <v>15</v>
      </c>
      <c r="M912" s="4">
        <v>3</v>
      </c>
      <c r="N912" s="4" t="s">
        <v>3</v>
      </c>
      <c r="O912" s="4">
        <v>2</v>
      </c>
      <c r="P912" s="4"/>
      <c r="Q912" s="4"/>
      <c r="R912" s="4"/>
      <c r="S912" s="4"/>
      <c r="T912" s="4"/>
      <c r="U912" s="4"/>
      <c r="V912" s="4"/>
      <c r="W912" s="4"/>
    </row>
    <row r="913" spans="1:206" x14ac:dyDescent="0.2">
      <c r="A913" s="4">
        <v>50</v>
      </c>
      <c r="B913" s="4">
        <v>0</v>
      </c>
      <c r="C913" s="4">
        <v>0</v>
      </c>
      <c r="D913" s="4">
        <v>1</v>
      </c>
      <c r="E913" s="4">
        <v>214</v>
      </c>
      <c r="F913" s="4">
        <f>ROUND(Source!AS896,O913)</f>
        <v>0</v>
      </c>
      <c r="G913" s="4" t="s">
        <v>80</v>
      </c>
      <c r="H913" s="4" t="s">
        <v>81</v>
      </c>
      <c r="I913" s="4"/>
      <c r="J913" s="4"/>
      <c r="K913" s="4">
        <v>214</v>
      </c>
      <c r="L913" s="4">
        <v>16</v>
      </c>
      <c r="M913" s="4">
        <v>3</v>
      </c>
      <c r="N913" s="4" t="s">
        <v>3</v>
      </c>
      <c r="O913" s="4">
        <v>2</v>
      </c>
      <c r="P913" s="4"/>
      <c r="Q913" s="4"/>
      <c r="R913" s="4"/>
      <c r="S913" s="4"/>
      <c r="T913" s="4"/>
      <c r="U913" s="4"/>
      <c r="V913" s="4"/>
      <c r="W913" s="4"/>
    </row>
    <row r="914" spans="1:206" x14ac:dyDescent="0.2">
      <c r="A914" s="4">
        <v>50</v>
      </c>
      <c r="B914" s="4">
        <v>0</v>
      </c>
      <c r="C914" s="4">
        <v>0</v>
      </c>
      <c r="D914" s="4">
        <v>1</v>
      </c>
      <c r="E914" s="4">
        <v>215</v>
      </c>
      <c r="F914" s="4">
        <f>ROUND(Source!AT896,O914)</f>
        <v>0</v>
      </c>
      <c r="G914" s="4" t="s">
        <v>82</v>
      </c>
      <c r="H914" s="4" t="s">
        <v>83</v>
      </c>
      <c r="I914" s="4"/>
      <c r="J914" s="4"/>
      <c r="K914" s="4">
        <v>215</v>
      </c>
      <c r="L914" s="4">
        <v>17</v>
      </c>
      <c r="M914" s="4">
        <v>3</v>
      </c>
      <c r="N914" s="4" t="s">
        <v>3</v>
      </c>
      <c r="O914" s="4">
        <v>2</v>
      </c>
      <c r="P914" s="4"/>
      <c r="Q914" s="4"/>
      <c r="R914" s="4"/>
      <c r="S914" s="4"/>
      <c r="T914" s="4"/>
      <c r="U914" s="4"/>
      <c r="V914" s="4"/>
      <c r="W914" s="4"/>
    </row>
    <row r="915" spans="1:206" x14ac:dyDescent="0.2">
      <c r="A915" s="4">
        <v>50</v>
      </c>
      <c r="B915" s="4">
        <v>0</v>
      </c>
      <c r="C915" s="4">
        <v>0</v>
      </c>
      <c r="D915" s="4">
        <v>1</v>
      </c>
      <c r="E915" s="4">
        <v>217</v>
      </c>
      <c r="F915" s="4">
        <f>ROUND(Source!AU896,O915)</f>
        <v>161999.34</v>
      </c>
      <c r="G915" s="4" t="s">
        <v>84</v>
      </c>
      <c r="H915" s="4" t="s">
        <v>85</v>
      </c>
      <c r="I915" s="4"/>
      <c r="J915" s="4"/>
      <c r="K915" s="4">
        <v>217</v>
      </c>
      <c r="L915" s="4">
        <v>18</v>
      </c>
      <c r="M915" s="4">
        <v>3</v>
      </c>
      <c r="N915" s="4" t="s">
        <v>3</v>
      </c>
      <c r="O915" s="4">
        <v>2</v>
      </c>
      <c r="P915" s="4"/>
      <c r="Q915" s="4"/>
      <c r="R915" s="4"/>
      <c r="S915" s="4"/>
      <c r="T915" s="4"/>
      <c r="U915" s="4"/>
      <c r="V915" s="4"/>
      <c r="W915" s="4"/>
    </row>
    <row r="916" spans="1:206" x14ac:dyDescent="0.2">
      <c r="A916" s="4">
        <v>50</v>
      </c>
      <c r="B916" s="4">
        <v>0</v>
      </c>
      <c r="C916" s="4">
        <v>0</v>
      </c>
      <c r="D916" s="4">
        <v>1</v>
      </c>
      <c r="E916" s="4">
        <v>230</v>
      </c>
      <c r="F916" s="4">
        <f>ROUND(Source!BA896,O916)</f>
        <v>0</v>
      </c>
      <c r="G916" s="4" t="s">
        <v>86</v>
      </c>
      <c r="H916" s="4" t="s">
        <v>87</v>
      </c>
      <c r="I916" s="4"/>
      <c r="J916" s="4"/>
      <c r="K916" s="4">
        <v>230</v>
      </c>
      <c r="L916" s="4">
        <v>19</v>
      </c>
      <c r="M916" s="4">
        <v>3</v>
      </c>
      <c r="N916" s="4" t="s">
        <v>3</v>
      </c>
      <c r="O916" s="4">
        <v>2</v>
      </c>
      <c r="P916" s="4"/>
      <c r="Q916" s="4"/>
      <c r="R916" s="4"/>
      <c r="S916" s="4"/>
      <c r="T916" s="4"/>
      <c r="U916" s="4"/>
      <c r="V916" s="4"/>
      <c r="W916" s="4"/>
    </row>
    <row r="917" spans="1:206" x14ac:dyDescent="0.2">
      <c r="A917" s="4">
        <v>50</v>
      </c>
      <c r="B917" s="4">
        <v>0</v>
      </c>
      <c r="C917" s="4">
        <v>0</v>
      </c>
      <c r="D917" s="4">
        <v>1</v>
      </c>
      <c r="E917" s="4">
        <v>206</v>
      </c>
      <c r="F917" s="4">
        <f>ROUND(Source!T896,O917)</f>
        <v>0</v>
      </c>
      <c r="G917" s="4" t="s">
        <v>88</v>
      </c>
      <c r="H917" s="4" t="s">
        <v>89</v>
      </c>
      <c r="I917" s="4"/>
      <c r="J917" s="4"/>
      <c r="K917" s="4">
        <v>206</v>
      </c>
      <c r="L917" s="4">
        <v>20</v>
      </c>
      <c r="M917" s="4">
        <v>3</v>
      </c>
      <c r="N917" s="4" t="s">
        <v>3</v>
      </c>
      <c r="O917" s="4">
        <v>2</v>
      </c>
      <c r="P917" s="4"/>
      <c r="Q917" s="4"/>
      <c r="R917" s="4"/>
      <c r="S917" s="4"/>
      <c r="T917" s="4"/>
      <c r="U917" s="4"/>
      <c r="V917" s="4"/>
      <c r="W917" s="4"/>
    </row>
    <row r="918" spans="1:206" x14ac:dyDescent="0.2">
      <c r="A918" s="4">
        <v>50</v>
      </c>
      <c r="B918" s="4">
        <v>0</v>
      </c>
      <c r="C918" s="4">
        <v>0</v>
      </c>
      <c r="D918" s="4">
        <v>1</v>
      </c>
      <c r="E918" s="4">
        <v>207</v>
      </c>
      <c r="F918" s="4">
        <f>Source!U896</f>
        <v>0</v>
      </c>
      <c r="G918" s="4" t="s">
        <v>90</v>
      </c>
      <c r="H918" s="4" t="s">
        <v>91</v>
      </c>
      <c r="I918" s="4"/>
      <c r="J918" s="4"/>
      <c r="K918" s="4">
        <v>207</v>
      </c>
      <c r="L918" s="4">
        <v>21</v>
      </c>
      <c r="M918" s="4">
        <v>3</v>
      </c>
      <c r="N918" s="4" t="s">
        <v>3</v>
      </c>
      <c r="O918" s="4">
        <v>-1</v>
      </c>
      <c r="P918" s="4"/>
      <c r="Q918" s="4"/>
      <c r="R918" s="4"/>
      <c r="S918" s="4"/>
      <c r="T918" s="4"/>
      <c r="U918" s="4"/>
      <c r="V918" s="4"/>
      <c r="W918" s="4"/>
    </row>
    <row r="919" spans="1:206" x14ac:dyDescent="0.2">
      <c r="A919" s="4">
        <v>50</v>
      </c>
      <c r="B919" s="4">
        <v>0</v>
      </c>
      <c r="C919" s="4">
        <v>0</v>
      </c>
      <c r="D919" s="4">
        <v>1</v>
      </c>
      <c r="E919" s="4">
        <v>208</v>
      </c>
      <c r="F919" s="4">
        <f>Source!V896</f>
        <v>0</v>
      </c>
      <c r="G919" s="4" t="s">
        <v>92</v>
      </c>
      <c r="H919" s="4" t="s">
        <v>93</v>
      </c>
      <c r="I919" s="4"/>
      <c r="J919" s="4"/>
      <c r="K919" s="4">
        <v>208</v>
      </c>
      <c r="L919" s="4">
        <v>22</v>
      </c>
      <c r="M919" s="4">
        <v>3</v>
      </c>
      <c r="N919" s="4" t="s">
        <v>3</v>
      </c>
      <c r="O919" s="4">
        <v>-1</v>
      </c>
      <c r="P919" s="4"/>
      <c r="Q919" s="4"/>
      <c r="R919" s="4"/>
      <c r="S919" s="4"/>
      <c r="T919" s="4"/>
      <c r="U919" s="4"/>
      <c r="V919" s="4"/>
      <c r="W919" s="4"/>
    </row>
    <row r="920" spans="1:206" x14ac:dyDescent="0.2">
      <c r="A920" s="4">
        <v>50</v>
      </c>
      <c r="B920" s="4">
        <v>0</v>
      </c>
      <c r="C920" s="4">
        <v>0</v>
      </c>
      <c r="D920" s="4">
        <v>1</v>
      </c>
      <c r="E920" s="4">
        <v>209</v>
      </c>
      <c r="F920" s="4">
        <f>ROUND(Source!W896,O920)</f>
        <v>0</v>
      </c>
      <c r="G920" s="4" t="s">
        <v>94</v>
      </c>
      <c r="H920" s="4" t="s">
        <v>95</v>
      </c>
      <c r="I920" s="4"/>
      <c r="J920" s="4"/>
      <c r="K920" s="4">
        <v>209</v>
      </c>
      <c r="L920" s="4">
        <v>23</v>
      </c>
      <c r="M920" s="4">
        <v>3</v>
      </c>
      <c r="N920" s="4" t="s">
        <v>3</v>
      </c>
      <c r="O920" s="4">
        <v>2</v>
      </c>
      <c r="P920" s="4"/>
      <c r="Q920" s="4"/>
      <c r="R920" s="4"/>
      <c r="S920" s="4"/>
      <c r="T920" s="4"/>
      <c r="U920" s="4"/>
      <c r="V920" s="4"/>
      <c r="W920" s="4"/>
    </row>
    <row r="921" spans="1:206" x14ac:dyDescent="0.2">
      <c r="A921" s="4">
        <v>50</v>
      </c>
      <c r="B921" s="4">
        <v>0</v>
      </c>
      <c r="C921" s="4">
        <v>0</v>
      </c>
      <c r="D921" s="4">
        <v>1</v>
      </c>
      <c r="E921" s="4">
        <v>233</v>
      </c>
      <c r="F921" s="4">
        <f>ROUND(Source!BD896,O921)</f>
        <v>0</v>
      </c>
      <c r="G921" s="4" t="s">
        <v>96</v>
      </c>
      <c r="H921" s="4" t="s">
        <v>97</v>
      </c>
      <c r="I921" s="4"/>
      <c r="J921" s="4"/>
      <c r="K921" s="4">
        <v>233</v>
      </c>
      <c r="L921" s="4">
        <v>24</v>
      </c>
      <c r="M921" s="4">
        <v>3</v>
      </c>
      <c r="N921" s="4" t="s">
        <v>3</v>
      </c>
      <c r="O921" s="4">
        <v>2</v>
      </c>
      <c r="P921" s="4"/>
      <c r="Q921" s="4"/>
      <c r="R921" s="4"/>
      <c r="S921" s="4"/>
      <c r="T921" s="4"/>
      <c r="U921" s="4"/>
      <c r="V921" s="4"/>
      <c r="W921" s="4"/>
    </row>
    <row r="922" spans="1:206" x14ac:dyDescent="0.2">
      <c r="A922" s="4">
        <v>50</v>
      </c>
      <c r="B922" s="4">
        <v>0</v>
      </c>
      <c r="C922" s="4">
        <v>0</v>
      </c>
      <c r="D922" s="4">
        <v>1</v>
      </c>
      <c r="E922" s="4">
        <v>210</v>
      </c>
      <c r="F922" s="4">
        <f>ROUND(Source!X896,O922)</f>
        <v>0</v>
      </c>
      <c r="G922" s="4" t="s">
        <v>98</v>
      </c>
      <c r="H922" s="4" t="s">
        <v>99</v>
      </c>
      <c r="I922" s="4"/>
      <c r="J922" s="4"/>
      <c r="K922" s="4">
        <v>210</v>
      </c>
      <c r="L922" s="4">
        <v>25</v>
      </c>
      <c r="M922" s="4">
        <v>3</v>
      </c>
      <c r="N922" s="4" t="s">
        <v>3</v>
      </c>
      <c r="O922" s="4">
        <v>2</v>
      </c>
      <c r="P922" s="4"/>
      <c r="Q922" s="4"/>
      <c r="R922" s="4"/>
      <c r="S922" s="4"/>
      <c r="T922" s="4"/>
      <c r="U922" s="4"/>
      <c r="V922" s="4"/>
      <c r="W922" s="4"/>
    </row>
    <row r="923" spans="1:206" x14ac:dyDescent="0.2">
      <c r="A923" s="4">
        <v>50</v>
      </c>
      <c r="B923" s="4">
        <v>0</v>
      </c>
      <c r="C923" s="4">
        <v>0</v>
      </c>
      <c r="D923" s="4">
        <v>1</v>
      </c>
      <c r="E923" s="4">
        <v>211</v>
      </c>
      <c r="F923" s="4">
        <f>ROUND(Source!Y896,O923)</f>
        <v>0</v>
      </c>
      <c r="G923" s="4" t="s">
        <v>100</v>
      </c>
      <c r="H923" s="4" t="s">
        <v>101</v>
      </c>
      <c r="I923" s="4"/>
      <c r="J923" s="4"/>
      <c r="K923" s="4">
        <v>211</v>
      </c>
      <c r="L923" s="4">
        <v>26</v>
      </c>
      <c r="M923" s="4">
        <v>3</v>
      </c>
      <c r="N923" s="4" t="s">
        <v>3</v>
      </c>
      <c r="O923" s="4">
        <v>2</v>
      </c>
      <c r="P923" s="4"/>
      <c r="Q923" s="4"/>
      <c r="R923" s="4"/>
      <c r="S923" s="4"/>
      <c r="T923" s="4"/>
      <c r="U923" s="4"/>
      <c r="V923" s="4"/>
      <c r="W923" s="4"/>
    </row>
    <row r="924" spans="1:206" x14ac:dyDescent="0.2">
      <c r="A924" s="4">
        <v>50</v>
      </c>
      <c r="B924" s="4">
        <v>0</v>
      </c>
      <c r="C924" s="4">
        <v>0</v>
      </c>
      <c r="D924" s="4">
        <v>1</v>
      </c>
      <c r="E924" s="4">
        <v>224</v>
      </c>
      <c r="F924" s="4">
        <f>ROUND(Source!AR896,O924)</f>
        <v>161999.34</v>
      </c>
      <c r="G924" s="4" t="s">
        <v>102</v>
      </c>
      <c r="H924" s="4" t="s">
        <v>103</v>
      </c>
      <c r="I924" s="4"/>
      <c r="J924" s="4"/>
      <c r="K924" s="4">
        <v>224</v>
      </c>
      <c r="L924" s="4">
        <v>27</v>
      </c>
      <c r="M924" s="4">
        <v>3</v>
      </c>
      <c r="N924" s="4" t="s">
        <v>3</v>
      </c>
      <c r="O924" s="4">
        <v>2</v>
      </c>
      <c r="P924" s="4"/>
      <c r="Q924" s="4"/>
      <c r="R924" s="4"/>
      <c r="S924" s="4"/>
      <c r="T924" s="4"/>
      <c r="U924" s="4"/>
      <c r="V924" s="4"/>
      <c r="W924" s="4"/>
    </row>
    <row r="926" spans="1:206" x14ac:dyDescent="0.2">
      <c r="A926" s="2">
        <v>51</v>
      </c>
      <c r="B926" s="2">
        <f>B20</f>
        <v>1</v>
      </c>
      <c r="C926" s="2">
        <f>A20</f>
        <v>3</v>
      </c>
      <c r="D926" s="2">
        <f>ROW(A20)</f>
        <v>20</v>
      </c>
      <c r="E926" s="2"/>
      <c r="F926" s="2" t="str">
        <f>IF(F20&lt;&gt;"",F20,"")</f>
        <v>Новая локальная смета</v>
      </c>
      <c r="G926" s="2" t="str">
        <f>IF(G20&lt;&gt;"",G20,"")</f>
        <v>Новая локальная смета</v>
      </c>
      <c r="H926" s="2">
        <v>0</v>
      </c>
      <c r="I926" s="2"/>
      <c r="J926" s="2"/>
      <c r="K926" s="2"/>
      <c r="L926" s="2"/>
      <c r="M926" s="2"/>
      <c r="N926" s="2"/>
      <c r="O926" s="2">
        <f t="shared" ref="O926:T926" si="405">ROUND(O124+O260+O372+O449+O568+O640+O674+O785+O858+O896+AB926,2)</f>
        <v>5281728.7</v>
      </c>
      <c r="P926" s="2">
        <f t="shared" si="405"/>
        <v>3342900.05</v>
      </c>
      <c r="Q926" s="2">
        <f t="shared" si="405"/>
        <v>707452.06</v>
      </c>
      <c r="R926" s="2">
        <f t="shared" si="405"/>
        <v>411693.91</v>
      </c>
      <c r="S926" s="2">
        <f t="shared" si="405"/>
        <v>1231376.5900000001</v>
      </c>
      <c r="T926" s="2">
        <f t="shared" si="405"/>
        <v>0</v>
      </c>
      <c r="U926" s="2">
        <f>U124+U260+U372+U449+U568+U640+U674+U785+U858+U896+AH926</f>
        <v>5252.6637286000005</v>
      </c>
      <c r="V926" s="2">
        <f>V124+V260+V372+V449+V568+V640+V674+V785+V858+V896+AI926</f>
        <v>0</v>
      </c>
      <c r="W926" s="2">
        <f>ROUND(W124+W260+W372+W449+W568+W640+W674+W785+W858+W896+AJ926,2)</f>
        <v>0</v>
      </c>
      <c r="X926" s="2">
        <f>ROUND(X124+X260+X372+X449+X568+X640+X674+X785+X858+X896+AK926,2)</f>
        <v>861963.6</v>
      </c>
      <c r="Y926" s="2">
        <f>ROUND(Y124+Y260+Y372+Y449+Y568+Y640+Y674+Y785+Y858+Y896+AL926,2)</f>
        <v>123137.73</v>
      </c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>
        <f t="shared" ref="AO926:BD926" si="406">ROUND(AO124+AO260+AO372+AO449+AO568+AO640+AO674+AO785+AO858+AO896+BX926,2)</f>
        <v>0</v>
      </c>
      <c r="AP926" s="2">
        <f t="shared" si="406"/>
        <v>0</v>
      </c>
      <c r="AQ926" s="2">
        <f t="shared" si="406"/>
        <v>0</v>
      </c>
      <c r="AR926" s="2">
        <f t="shared" si="406"/>
        <v>6627373.0999999996</v>
      </c>
      <c r="AS926" s="2">
        <f t="shared" si="406"/>
        <v>0</v>
      </c>
      <c r="AT926" s="2">
        <f t="shared" si="406"/>
        <v>0</v>
      </c>
      <c r="AU926" s="2">
        <f t="shared" si="406"/>
        <v>6627373.0999999996</v>
      </c>
      <c r="AV926" s="2">
        <f t="shared" si="406"/>
        <v>3342900.05</v>
      </c>
      <c r="AW926" s="2">
        <f t="shared" si="406"/>
        <v>3342900.05</v>
      </c>
      <c r="AX926" s="2">
        <f t="shared" si="406"/>
        <v>0</v>
      </c>
      <c r="AY926" s="2">
        <f t="shared" si="406"/>
        <v>3342900.05</v>
      </c>
      <c r="AZ926" s="2">
        <f t="shared" si="406"/>
        <v>0</v>
      </c>
      <c r="BA926" s="2">
        <f t="shared" si="406"/>
        <v>0</v>
      </c>
      <c r="BB926" s="2">
        <f t="shared" si="406"/>
        <v>0</v>
      </c>
      <c r="BC926" s="2">
        <f t="shared" si="406"/>
        <v>0</v>
      </c>
      <c r="BD926" s="2">
        <f t="shared" si="406"/>
        <v>0</v>
      </c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3"/>
      <c r="DH926" s="3"/>
      <c r="DI926" s="3"/>
      <c r="DJ926" s="3"/>
      <c r="DK926" s="3"/>
      <c r="DL926" s="3"/>
      <c r="DM926" s="3"/>
      <c r="DN926" s="3"/>
      <c r="DO926" s="3"/>
      <c r="DP926" s="3"/>
      <c r="DQ926" s="3"/>
      <c r="DR926" s="3"/>
      <c r="DS926" s="3"/>
      <c r="DT926" s="3"/>
      <c r="DU926" s="3"/>
      <c r="DV926" s="3"/>
      <c r="DW926" s="3"/>
      <c r="DX926" s="3"/>
      <c r="DY926" s="3"/>
      <c r="DZ926" s="3"/>
      <c r="EA926" s="3"/>
      <c r="EB926" s="3"/>
      <c r="EC926" s="3"/>
      <c r="ED926" s="3"/>
      <c r="EE926" s="3"/>
      <c r="EF926" s="3"/>
      <c r="EG926" s="3"/>
      <c r="EH926" s="3"/>
      <c r="EI926" s="3"/>
      <c r="EJ926" s="3"/>
      <c r="EK926" s="3"/>
      <c r="EL926" s="3"/>
      <c r="EM926" s="3"/>
      <c r="EN926" s="3"/>
      <c r="EO926" s="3"/>
      <c r="EP926" s="3"/>
      <c r="EQ926" s="3"/>
      <c r="ER926" s="3"/>
      <c r="ES926" s="3"/>
      <c r="ET926" s="3"/>
      <c r="EU926" s="3"/>
      <c r="EV926" s="3"/>
      <c r="EW926" s="3"/>
      <c r="EX926" s="3"/>
      <c r="EY926" s="3"/>
      <c r="EZ926" s="3"/>
      <c r="FA926" s="3"/>
      <c r="FB926" s="3"/>
      <c r="FC926" s="3"/>
      <c r="FD926" s="3"/>
      <c r="FE926" s="3"/>
      <c r="FF926" s="3"/>
      <c r="FG926" s="3"/>
      <c r="FH926" s="3"/>
      <c r="FI926" s="3"/>
      <c r="FJ926" s="3"/>
      <c r="FK926" s="3"/>
      <c r="FL926" s="3"/>
      <c r="FM926" s="3"/>
      <c r="FN926" s="3"/>
      <c r="FO926" s="3"/>
      <c r="FP926" s="3"/>
      <c r="FQ926" s="3"/>
      <c r="FR926" s="3"/>
      <c r="FS926" s="3"/>
      <c r="FT926" s="3"/>
      <c r="FU926" s="3"/>
      <c r="FV926" s="3"/>
      <c r="FW926" s="3"/>
      <c r="FX926" s="3"/>
      <c r="FY926" s="3"/>
      <c r="FZ926" s="3"/>
      <c r="GA926" s="3"/>
      <c r="GB926" s="3"/>
      <c r="GC926" s="3"/>
      <c r="GD926" s="3"/>
      <c r="GE926" s="3"/>
      <c r="GF926" s="3"/>
      <c r="GG926" s="3"/>
      <c r="GH926" s="3"/>
      <c r="GI926" s="3"/>
      <c r="GJ926" s="3"/>
      <c r="GK926" s="3"/>
      <c r="GL926" s="3"/>
      <c r="GM926" s="3"/>
      <c r="GN926" s="3"/>
      <c r="GO926" s="3"/>
      <c r="GP926" s="3"/>
      <c r="GQ926" s="3"/>
      <c r="GR926" s="3"/>
      <c r="GS926" s="3"/>
      <c r="GT926" s="3"/>
      <c r="GU926" s="3"/>
      <c r="GV926" s="3"/>
      <c r="GW926" s="3"/>
      <c r="GX926" s="3">
        <v>0</v>
      </c>
    </row>
    <row r="928" spans="1:206" x14ac:dyDescent="0.2">
      <c r="A928" s="4">
        <v>50</v>
      </c>
      <c r="B928" s="4">
        <v>0</v>
      </c>
      <c r="C928" s="4">
        <v>0</v>
      </c>
      <c r="D928" s="4">
        <v>1</v>
      </c>
      <c r="E928" s="4">
        <v>201</v>
      </c>
      <c r="F928" s="4">
        <f>ROUND(Source!O926,O928)</f>
        <v>5281728.7</v>
      </c>
      <c r="G928" s="4" t="s">
        <v>50</v>
      </c>
      <c r="H928" s="4" t="s">
        <v>51</v>
      </c>
      <c r="I928" s="4"/>
      <c r="J928" s="4"/>
      <c r="K928" s="4">
        <v>201</v>
      </c>
      <c r="L928" s="4">
        <v>1</v>
      </c>
      <c r="M928" s="4">
        <v>3</v>
      </c>
      <c r="N928" s="4" t="s">
        <v>3</v>
      </c>
      <c r="O928" s="4">
        <v>2</v>
      </c>
      <c r="P928" s="4"/>
      <c r="Q928" s="4"/>
      <c r="R928" s="4"/>
      <c r="S928" s="4"/>
      <c r="T928" s="4"/>
      <c r="U928" s="4"/>
      <c r="V928" s="4"/>
      <c r="W928" s="4"/>
    </row>
    <row r="929" spans="1:23" x14ac:dyDescent="0.2">
      <c r="A929" s="4">
        <v>50</v>
      </c>
      <c r="B929" s="4">
        <v>0</v>
      </c>
      <c r="C929" s="4">
        <v>0</v>
      </c>
      <c r="D929" s="4">
        <v>1</v>
      </c>
      <c r="E929" s="4">
        <v>202</v>
      </c>
      <c r="F929" s="4">
        <f>ROUND(Source!P926,O929)</f>
        <v>3342900.05</v>
      </c>
      <c r="G929" s="4" t="s">
        <v>52</v>
      </c>
      <c r="H929" s="4" t="s">
        <v>53</v>
      </c>
      <c r="I929" s="4"/>
      <c r="J929" s="4"/>
      <c r="K929" s="4">
        <v>202</v>
      </c>
      <c r="L929" s="4">
        <v>2</v>
      </c>
      <c r="M929" s="4">
        <v>3</v>
      </c>
      <c r="N929" s="4" t="s">
        <v>3</v>
      </c>
      <c r="O929" s="4">
        <v>2</v>
      </c>
      <c r="P929" s="4"/>
      <c r="Q929" s="4"/>
      <c r="R929" s="4"/>
      <c r="S929" s="4"/>
      <c r="T929" s="4"/>
      <c r="U929" s="4"/>
      <c r="V929" s="4"/>
      <c r="W929" s="4"/>
    </row>
    <row r="930" spans="1:23" x14ac:dyDescent="0.2">
      <c r="A930" s="4">
        <v>50</v>
      </c>
      <c r="B930" s="4">
        <v>0</v>
      </c>
      <c r="C930" s="4">
        <v>0</v>
      </c>
      <c r="D930" s="4">
        <v>1</v>
      </c>
      <c r="E930" s="4">
        <v>222</v>
      </c>
      <c r="F930" s="4">
        <f>ROUND(Source!AO926,O930)</f>
        <v>0</v>
      </c>
      <c r="G930" s="4" t="s">
        <v>54</v>
      </c>
      <c r="H930" s="4" t="s">
        <v>55</v>
      </c>
      <c r="I930" s="4"/>
      <c r="J930" s="4"/>
      <c r="K930" s="4">
        <v>222</v>
      </c>
      <c r="L930" s="4">
        <v>3</v>
      </c>
      <c r="M930" s="4">
        <v>3</v>
      </c>
      <c r="N930" s="4" t="s">
        <v>3</v>
      </c>
      <c r="O930" s="4">
        <v>2</v>
      </c>
      <c r="P930" s="4"/>
      <c r="Q930" s="4"/>
      <c r="R930" s="4"/>
      <c r="S930" s="4"/>
      <c r="T930" s="4"/>
      <c r="U930" s="4"/>
      <c r="V930" s="4"/>
      <c r="W930" s="4"/>
    </row>
    <row r="931" spans="1:23" x14ac:dyDescent="0.2">
      <c r="A931" s="4">
        <v>50</v>
      </c>
      <c r="B931" s="4">
        <v>0</v>
      </c>
      <c r="C931" s="4">
        <v>0</v>
      </c>
      <c r="D931" s="4">
        <v>1</v>
      </c>
      <c r="E931" s="4">
        <v>225</v>
      </c>
      <c r="F931" s="4">
        <f>ROUND(Source!AV926,O931)</f>
        <v>3342900.05</v>
      </c>
      <c r="G931" s="4" t="s">
        <v>56</v>
      </c>
      <c r="H931" s="4" t="s">
        <v>57</v>
      </c>
      <c r="I931" s="4"/>
      <c r="J931" s="4"/>
      <c r="K931" s="4">
        <v>225</v>
      </c>
      <c r="L931" s="4">
        <v>4</v>
      </c>
      <c r="M931" s="4">
        <v>3</v>
      </c>
      <c r="N931" s="4" t="s">
        <v>3</v>
      </c>
      <c r="O931" s="4">
        <v>2</v>
      </c>
      <c r="P931" s="4"/>
      <c r="Q931" s="4"/>
      <c r="R931" s="4"/>
      <c r="S931" s="4"/>
      <c r="T931" s="4"/>
      <c r="U931" s="4"/>
      <c r="V931" s="4"/>
      <c r="W931" s="4"/>
    </row>
    <row r="932" spans="1:23" x14ac:dyDescent="0.2">
      <c r="A932" s="4">
        <v>50</v>
      </c>
      <c r="B932" s="4">
        <v>0</v>
      </c>
      <c r="C932" s="4">
        <v>0</v>
      </c>
      <c r="D932" s="4">
        <v>1</v>
      </c>
      <c r="E932" s="4">
        <v>226</v>
      </c>
      <c r="F932" s="4">
        <f>ROUND(Source!AW926,O932)</f>
        <v>3342900.05</v>
      </c>
      <c r="G932" s="4" t="s">
        <v>58</v>
      </c>
      <c r="H932" s="4" t="s">
        <v>59</v>
      </c>
      <c r="I932" s="4"/>
      <c r="J932" s="4"/>
      <c r="K932" s="4">
        <v>226</v>
      </c>
      <c r="L932" s="4">
        <v>5</v>
      </c>
      <c r="M932" s="4">
        <v>3</v>
      </c>
      <c r="N932" s="4" t="s">
        <v>3</v>
      </c>
      <c r="O932" s="4">
        <v>2</v>
      </c>
      <c r="P932" s="4"/>
      <c r="Q932" s="4"/>
      <c r="R932" s="4"/>
      <c r="S932" s="4"/>
      <c r="T932" s="4"/>
      <c r="U932" s="4"/>
      <c r="V932" s="4"/>
      <c r="W932" s="4"/>
    </row>
    <row r="933" spans="1:23" x14ac:dyDescent="0.2">
      <c r="A933" s="4">
        <v>50</v>
      </c>
      <c r="B933" s="4">
        <v>0</v>
      </c>
      <c r="C933" s="4">
        <v>0</v>
      </c>
      <c r="D933" s="4">
        <v>1</v>
      </c>
      <c r="E933" s="4">
        <v>227</v>
      </c>
      <c r="F933" s="4">
        <f>ROUND(Source!AX926,O933)</f>
        <v>0</v>
      </c>
      <c r="G933" s="4" t="s">
        <v>60</v>
      </c>
      <c r="H933" s="4" t="s">
        <v>61</v>
      </c>
      <c r="I933" s="4"/>
      <c r="J933" s="4"/>
      <c r="K933" s="4">
        <v>227</v>
      </c>
      <c r="L933" s="4">
        <v>6</v>
      </c>
      <c r="M933" s="4">
        <v>3</v>
      </c>
      <c r="N933" s="4" t="s">
        <v>3</v>
      </c>
      <c r="O933" s="4">
        <v>2</v>
      </c>
      <c r="P933" s="4"/>
      <c r="Q933" s="4"/>
      <c r="R933" s="4"/>
      <c r="S933" s="4"/>
      <c r="T933" s="4"/>
      <c r="U933" s="4"/>
      <c r="V933" s="4"/>
      <c r="W933" s="4"/>
    </row>
    <row r="934" spans="1:23" x14ac:dyDescent="0.2">
      <c r="A934" s="4">
        <v>50</v>
      </c>
      <c r="B934" s="4">
        <v>0</v>
      </c>
      <c r="C934" s="4">
        <v>0</v>
      </c>
      <c r="D934" s="4">
        <v>1</v>
      </c>
      <c r="E934" s="4">
        <v>228</v>
      </c>
      <c r="F934" s="4">
        <f>ROUND(Source!AY926,O934)</f>
        <v>3342900.05</v>
      </c>
      <c r="G934" s="4" t="s">
        <v>62</v>
      </c>
      <c r="H934" s="4" t="s">
        <v>63</v>
      </c>
      <c r="I934" s="4"/>
      <c r="J934" s="4"/>
      <c r="K934" s="4">
        <v>228</v>
      </c>
      <c r="L934" s="4">
        <v>7</v>
      </c>
      <c r="M934" s="4">
        <v>3</v>
      </c>
      <c r="N934" s="4" t="s">
        <v>3</v>
      </c>
      <c r="O934" s="4">
        <v>2</v>
      </c>
      <c r="P934" s="4"/>
      <c r="Q934" s="4"/>
      <c r="R934" s="4"/>
      <c r="S934" s="4"/>
      <c r="T934" s="4"/>
      <c r="U934" s="4"/>
      <c r="V934" s="4"/>
      <c r="W934" s="4"/>
    </row>
    <row r="935" spans="1:23" x14ac:dyDescent="0.2">
      <c r="A935" s="4">
        <v>50</v>
      </c>
      <c r="B935" s="4">
        <v>0</v>
      </c>
      <c r="C935" s="4">
        <v>0</v>
      </c>
      <c r="D935" s="4">
        <v>1</v>
      </c>
      <c r="E935" s="4">
        <v>216</v>
      </c>
      <c r="F935" s="4">
        <f>ROUND(Source!AP926,O935)</f>
        <v>0</v>
      </c>
      <c r="G935" s="4" t="s">
        <v>64</v>
      </c>
      <c r="H935" s="4" t="s">
        <v>65</v>
      </c>
      <c r="I935" s="4"/>
      <c r="J935" s="4"/>
      <c r="K935" s="4">
        <v>216</v>
      </c>
      <c r="L935" s="4">
        <v>8</v>
      </c>
      <c r="M935" s="4">
        <v>3</v>
      </c>
      <c r="N935" s="4" t="s">
        <v>3</v>
      </c>
      <c r="O935" s="4">
        <v>2</v>
      </c>
      <c r="P935" s="4"/>
      <c r="Q935" s="4"/>
      <c r="R935" s="4"/>
      <c r="S935" s="4"/>
      <c r="T935" s="4"/>
      <c r="U935" s="4"/>
      <c r="V935" s="4"/>
      <c r="W935" s="4"/>
    </row>
    <row r="936" spans="1:23" x14ac:dyDescent="0.2">
      <c r="A936" s="4">
        <v>50</v>
      </c>
      <c r="B936" s="4">
        <v>0</v>
      </c>
      <c r="C936" s="4">
        <v>0</v>
      </c>
      <c r="D936" s="4">
        <v>1</v>
      </c>
      <c r="E936" s="4">
        <v>223</v>
      </c>
      <c r="F936" s="4">
        <f>ROUND(Source!AQ926,O936)</f>
        <v>0</v>
      </c>
      <c r="G936" s="4" t="s">
        <v>66</v>
      </c>
      <c r="H936" s="4" t="s">
        <v>67</v>
      </c>
      <c r="I936" s="4"/>
      <c r="J936" s="4"/>
      <c r="K936" s="4">
        <v>223</v>
      </c>
      <c r="L936" s="4">
        <v>9</v>
      </c>
      <c r="M936" s="4">
        <v>3</v>
      </c>
      <c r="N936" s="4" t="s">
        <v>3</v>
      </c>
      <c r="O936" s="4">
        <v>2</v>
      </c>
      <c r="P936" s="4"/>
      <c r="Q936" s="4"/>
      <c r="R936" s="4"/>
      <c r="S936" s="4"/>
      <c r="T936" s="4"/>
      <c r="U936" s="4"/>
      <c r="V936" s="4"/>
      <c r="W936" s="4"/>
    </row>
    <row r="937" spans="1:23" x14ac:dyDescent="0.2">
      <c r="A937" s="4">
        <v>50</v>
      </c>
      <c r="B937" s="4">
        <v>0</v>
      </c>
      <c r="C937" s="4">
        <v>0</v>
      </c>
      <c r="D937" s="4">
        <v>1</v>
      </c>
      <c r="E937" s="4">
        <v>229</v>
      </c>
      <c r="F937" s="4">
        <f>ROUND(Source!AZ926,O937)</f>
        <v>0</v>
      </c>
      <c r="G937" s="4" t="s">
        <v>68</v>
      </c>
      <c r="H937" s="4" t="s">
        <v>69</v>
      </c>
      <c r="I937" s="4"/>
      <c r="J937" s="4"/>
      <c r="K937" s="4">
        <v>229</v>
      </c>
      <c r="L937" s="4">
        <v>10</v>
      </c>
      <c r="M937" s="4">
        <v>3</v>
      </c>
      <c r="N937" s="4" t="s">
        <v>3</v>
      </c>
      <c r="O937" s="4">
        <v>2</v>
      </c>
      <c r="P937" s="4"/>
      <c r="Q937" s="4"/>
      <c r="R937" s="4"/>
      <c r="S937" s="4"/>
      <c r="T937" s="4"/>
      <c r="U937" s="4"/>
      <c r="V937" s="4"/>
      <c r="W937" s="4"/>
    </row>
    <row r="938" spans="1:23" x14ac:dyDescent="0.2">
      <c r="A938" s="4">
        <v>50</v>
      </c>
      <c r="B938" s="4">
        <v>0</v>
      </c>
      <c r="C938" s="4">
        <v>0</v>
      </c>
      <c r="D938" s="4">
        <v>1</v>
      </c>
      <c r="E938" s="4">
        <v>203</v>
      </c>
      <c r="F938" s="4">
        <f>ROUND(Source!Q926,O938)</f>
        <v>707452.06</v>
      </c>
      <c r="G938" s="4" t="s">
        <v>70</v>
      </c>
      <c r="H938" s="4" t="s">
        <v>71</v>
      </c>
      <c r="I938" s="4"/>
      <c r="J938" s="4"/>
      <c r="K938" s="4">
        <v>203</v>
      </c>
      <c r="L938" s="4">
        <v>11</v>
      </c>
      <c r="M938" s="4">
        <v>3</v>
      </c>
      <c r="N938" s="4" t="s">
        <v>3</v>
      </c>
      <c r="O938" s="4">
        <v>2</v>
      </c>
      <c r="P938" s="4"/>
      <c r="Q938" s="4"/>
      <c r="R938" s="4"/>
      <c r="S938" s="4"/>
      <c r="T938" s="4"/>
      <c r="U938" s="4"/>
      <c r="V938" s="4"/>
      <c r="W938" s="4"/>
    </row>
    <row r="939" spans="1:23" x14ac:dyDescent="0.2">
      <c r="A939" s="4">
        <v>50</v>
      </c>
      <c r="B939" s="4">
        <v>0</v>
      </c>
      <c r="C939" s="4">
        <v>0</v>
      </c>
      <c r="D939" s="4">
        <v>1</v>
      </c>
      <c r="E939" s="4">
        <v>231</v>
      </c>
      <c r="F939" s="4">
        <f>ROUND(Source!BB926,O939)</f>
        <v>0</v>
      </c>
      <c r="G939" s="4" t="s">
        <v>72</v>
      </c>
      <c r="H939" s="4" t="s">
        <v>73</v>
      </c>
      <c r="I939" s="4"/>
      <c r="J939" s="4"/>
      <c r="K939" s="4">
        <v>231</v>
      </c>
      <c r="L939" s="4">
        <v>12</v>
      </c>
      <c r="M939" s="4">
        <v>3</v>
      </c>
      <c r="N939" s="4" t="s">
        <v>3</v>
      </c>
      <c r="O939" s="4">
        <v>2</v>
      </c>
      <c r="P939" s="4"/>
      <c r="Q939" s="4"/>
      <c r="R939" s="4"/>
      <c r="S939" s="4"/>
      <c r="T939" s="4"/>
      <c r="U939" s="4"/>
      <c r="V939" s="4"/>
      <c r="W939" s="4"/>
    </row>
    <row r="940" spans="1:23" x14ac:dyDescent="0.2">
      <c r="A940" s="4">
        <v>50</v>
      </c>
      <c r="B940" s="4">
        <v>0</v>
      </c>
      <c r="C940" s="4">
        <v>0</v>
      </c>
      <c r="D940" s="4">
        <v>1</v>
      </c>
      <c r="E940" s="4">
        <v>204</v>
      </c>
      <c r="F940" s="4">
        <f>ROUND(Source!R926,O940)</f>
        <v>411693.91</v>
      </c>
      <c r="G940" s="4" t="s">
        <v>74</v>
      </c>
      <c r="H940" s="4" t="s">
        <v>75</v>
      </c>
      <c r="I940" s="4"/>
      <c r="J940" s="4"/>
      <c r="K940" s="4">
        <v>204</v>
      </c>
      <c r="L940" s="4">
        <v>13</v>
      </c>
      <c r="M940" s="4">
        <v>3</v>
      </c>
      <c r="N940" s="4" t="s">
        <v>3</v>
      </c>
      <c r="O940" s="4">
        <v>2</v>
      </c>
      <c r="P940" s="4"/>
      <c r="Q940" s="4"/>
      <c r="R940" s="4"/>
      <c r="S940" s="4"/>
      <c r="T940" s="4"/>
      <c r="U940" s="4"/>
      <c r="V940" s="4"/>
      <c r="W940" s="4"/>
    </row>
    <row r="941" spans="1:23" x14ac:dyDescent="0.2">
      <c r="A941" s="4">
        <v>50</v>
      </c>
      <c r="B941" s="4">
        <v>0</v>
      </c>
      <c r="C941" s="4">
        <v>0</v>
      </c>
      <c r="D941" s="4">
        <v>1</v>
      </c>
      <c r="E941" s="4">
        <v>205</v>
      </c>
      <c r="F941" s="4">
        <f>ROUND(Source!S926,O941)</f>
        <v>1231376.5900000001</v>
      </c>
      <c r="G941" s="4" t="s">
        <v>76</v>
      </c>
      <c r="H941" s="4" t="s">
        <v>77</v>
      </c>
      <c r="I941" s="4"/>
      <c r="J941" s="4"/>
      <c r="K941" s="4">
        <v>205</v>
      </c>
      <c r="L941" s="4">
        <v>14</v>
      </c>
      <c r="M941" s="4">
        <v>3</v>
      </c>
      <c r="N941" s="4" t="s">
        <v>3</v>
      </c>
      <c r="O941" s="4">
        <v>2</v>
      </c>
      <c r="P941" s="4"/>
      <c r="Q941" s="4"/>
      <c r="R941" s="4"/>
      <c r="S941" s="4"/>
      <c r="T941" s="4"/>
      <c r="U941" s="4"/>
      <c r="V941" s="4"/>
      <c r="W941" s="4"/>
    </row>
    <row r="942" spans="1:23" x14ac:dyDescent="0.2">
      <c r="A942" s="4">
        <v>50</v>
      </c>
      <c r="B942" s="4">
        <v>0</v>
      </c>
      <c r="C942" s="4">
        <v>0</v>
      </c>
      <c r="D942" s="4">
        <v>1</v>
      </c>
      <c r="E942" s="4">
        <v>232</v>
      </c>
      <c r="F942" s="4">
        <f>ROUND(Source!BC926,O942)</f>
        <v>0</v>
      </c>
      <c r="G942" s="4" t="s">
        <v>78</v>
      </c>
      <c r="H942" s="4" t="s">
        <v>79</v>
      </c>
      <c r="I942" s="4"/>
      <c r="J942" s="4"/>
      <c r="K942" s="4">
        <v>232</v>
      </c>
      <c r="L942" s="4">
        <v>15</v>
      </c>
      <c r="M942" s="4">
        <v>3</v>
      </c>
      <c r="N942" s="4" t="s">
        <v>3</v>
      </c>
      <c r="O942" s="4">
        <v>2</v>
      </c>
      <c r="P942" s="4"/>
      <c r="Q942" s="4"/>
      <c r="R942" s="4"/>
      <c r="S942" s="4"/>
      <c r="T942" s="4"/>
      <c r="U942" s="4"/>
      <c r="V942" s="4"/>
      <c r="W942" s="4"/>
    </row>
    <row r="943" spans="1:23" x14ac:dyDescent="0.2">
      <c r="A943" s="4">
        <v>50</v>
      </c>
      <c r="B943" s="4">
        <v>0</v>
      </c>
      <c r="C943" s="4">
        <v>0</v>
      </c>
      <c r="D943" s="4">
        <v>1</v>
      </c>
      <c r="E943" s="4">
        <v>214</v>
      </c>
      <c r="F943" s="4">
        <f>ROUND(Source!AS926,O943)</f>
        <v>0</v>
      </c>
      <c r="G943" s="4" t="s">
        <v>80</v>
      </c>
      <c r="H943" s="4" t="s">
        <v>81</v>
      </c>
      <c r="I943" s="4"/>
      <c r="J943" s="4"/>
      <c r="K943" s="4">
        <v>214</v>
      </c>
      <c r="L943" s="4">
        <v>16</v>
      </c>
      <c r="M943" s="4">
        <v>3</v>
      </c>
      <c r="N943" s="4" t="s">
        <v>3</v>
      </c>
      <c r="O943" s="4">
        <v>2</v>
      </c>
      <c r="P943" s="4"/>
      <c r="Q943" s="4"/>
      <c r="R943" s="4"/>
      <c r="S943" s="4"/>
      <c r="T943" s="4"/>
      <c r="U943" s="4"/>
      <c r="V943" s="4"/>
      <c r="W943" s="4"/>
    </row>
    <row r="944" spans="1:23" x14ac:dyDescent="0.2">
      <c r="A944" s="4">
        <v>50</v>
      </c>
      <c r="B944" s="4">
        <v>0</v>
      </c>
      <c r="C944" s="4">
        <v>0</v>
      </c>
      <c r="D944" s="4">
        <v>1</v>
      </c>
      <c r="E944" s="4">
        <v>215</v>
      </c>
      <c r="F944" s="4">
        <f>ROUND(Source!AT926,O944)</f>
        <v>0</v>
      </c>
      <c r="G944" s="4" t="s">
        <v>82</v>
      </c>
      <c r="H944" s="4" t="s">
        <v>83</v>
      </c>
      <c r="I944" s="4"/>
      <c r="J944" s="4"/>
      <c r="K944" s="4">
        <v>215</v>
      </c>
      <c r="L944" s="4">
        <v>17</v>
      </c>
      <c r="M944" s="4">
        <v>3</v>
      </c>
      <c r="N944" s="4" t="s">
        <v>3</v>
      </c>
      <c r="O944" s="4">
        <v>2</v>
      </c>
      <c r="P944" s="4"/>
      <c r="Q944" s="4"/>
      <c r="R944" s="4"/>
      <c r="S944" s="4"/>
      <c r="T944" s="4"/>
      <c r="U944" s="4"/>
      <c r="V944" s="4"/>
      <c r="W944" s="4"/>
    </row>
    <row r="945" spans="1:206" x14ac:dyDescent="0.2">
      <c r="A945" s="4">
        <v>50</v>
      </c>
      <c r="B945" s="4">
        <v>0</v>
      </c>
      <c r="C945" s="4">
        <v>0</v>
      </c>
      <c r="D945" s="4">
        <v>1</v>
      </c>
      <c r="E945" s="4">
        <v>217</v>
      </c>
      <c r="F945" s="4">
        <f>ROUND(Source!AU926,O945)</f>
        <v>6627373.0999999996</v>
      </c>
      <c r="G945" s="4" t="s">
        <v>84</v>
      </c>
      <c r="H945" s="4" t="s">
        <v>85</v>
      </c>
      <c r="I945" s="4"/>
      <c r="J945" s="4"/>
      <c r="K945" s="4">
        <v>217</v>
      </c>
      <c r="L945" s="4">
        <v>18</v>
      </c>
      <c r="M945" s="4">
        <v>3</v>
      </c>
      <c r="N945" s="4" t="s">
        <v>3</v>
      </c>
      <c r="O945" s="4">
        <v>2</v>
      </c>
      <c r="P945" s="4"/>
      <c r="Q945" s="4"/>
      <c r="R945" s="4"/>
      <c r="S945" s="4"/>
      <c r="T945" s="4"/>
      <c r="U945" s="4"/>
      <c r="V945" s="4"/>
      <c r="W945" s="4"/>
    </row>
    <row r="946" spans="1:206" x14ac:dyDescent="0.2">
      <c r="A946" s="4">
        <v>50</v>
      </c>
      <c r="B946" s="4">
        <v>0</v>
      </c>
      <c r="C946" s="4">
        <v>0</v>
      </c>
      <c r="D946" s="4">
        <v>1</v>
      </c>
      <c r="E946" s="4">
        <v>230</v>
      </c>
      <c r="F946" s="4">
        <f>ROUND(Source!BA926,O946)</f>
        <v>0</v>
      </c>
      <c r="G946" s="4" t="s">
        <v>86</v>
      </c>
      <c r="H946" s="4" t="s">
        <v>87</v>
      </c>
      <c r="I946" s="4"/>
      <c r="J946" s="4"/>
      <c r="K946" s="4">
        <v>230</v>
      </c>
      <c r="L946" s="4">
        <v>19</v>
      </c>
      <c r="M946" s="4">
        <v>3</v>
      </c>
      <c r="N946" s="4" t="s">
        <v>3</v>
      </c>
      <c r="O946" s="4">
        <v>2</v>
      </c>
      <c r="P946" s="4"/>
      <c r="Q946" s="4"/>
      <c r="R946" s="4"/>
      <c r="S946" s="4"/>
      <c r="T946" s="4"/>
      <c r="U946" s="4"/>
      <c r="V946" s="4"/>
      <c r="W946" s="4"/>
    </row>
    <row r="947" spans="1:206" x14ac:dyDescent="0.2">
      <c r="A947" s="4">
        <v>50</v>
      </c>
      <c r="B947" s="4">
        <v>0</v>
      </c>
      <c r="C947" s="4">
        <v>0</v>
      </c>
      <c r="D947" s="4">
        <v>1</v>
      </c>
      <c r="E947" s="4">
        <v>206</v>
      </c>
      <c r="F947" s="4">
        <f>ROUND(Source!T926,O947)</f>
        <v>0</v>
      </c>
      <c r="G947" s="4" t="s">
        <v>88</v>
      </c>
      <c r="H947" s="4" t="s">
        <v>89</v>
      </c>
      <c r="I947" s="4"/>
      <c r="J947" s="4"/>
      <c r="K947" s="4">
        <v>206</v>
      </c>
      <c r="L947" s="4">
        <v>20</v>
      </c>
      <c r="M947" s="4">
        <v>3</v>
      </c>
      <c r="N947" s="4" t="s">
        <v>3</v>
      </c>
      <c r="O947" s="4">
        <v>2</v>
      </c>
      <c r="P947" s="4"/>
      <c r="Q947" s="4"/>
      <c r="R947" s="4"/>
      <c r="S947" s="4"/>
      <c r="T947" s="4"/>
      <c r="U947" s="4"/>
      <c r="V947" s="4"/>
      <c r="W947" s="4"/>
    </row>
    <row r="948" spans="1:206" x14ac:dyDescent="0.2">
      <c r="A948" s="4">
        <v>50</v>
      </c>
      <c r="B948" s="4">
        <v>0</v>
      </c>
      <c r="C948" s="4">
        <v>0</v>
      </c>
      <c r="D948" s="4">
        <v>1</v>
      </c>
      <c r="E948" s="4">
        <v>207</v>
      </c>
      <c r="F948" s="4">
        <f>Source!U926</f>
        <v>5252.6637286000005</v>
      </c>
      <c r="G948" s="4" t="s">
        <v>90</v>
      </c>
      <c r="H948" s="4" t="s">
        <v>91</v>
      </c>
      <c r="I948" s="4"/>
      <c r="J948" s="4"/>
      <c r="K948" s="4">
        <v>207</v>
      </c>
      <c r="L948" s="4">
        <v>21</v>
      </c>
      <c r="M948" s="4">
        <v>3</v>
      </c>
      <c r="N948" s="4" t="s">
        <v>3</v>
      </c>
      <c r="O948" s="4">
        <v>-1</v>
      </c>
      <c r="P948" s="4"/>
      <c r="Q948" s="4"/>
      <c r="R948" s="4"/>
      <c r="S948" s="4"/>
      <c r="T948" s="4"/>
      <c r="U948" s="4"/>
      <c r="V948" s="4"/>
      <c r="W948" s="4"/>
    </row>
    <row r="949" spans="1:206" x14ac:dyDescent="0.2">
      <c r="A949" s="4">
        <v>50</v>
      </c>
      <c r="B949" s="4">
        <v>0</v>
      </c>
      <c r="C949" s="4">
        <v>0</v>
      </c>
      <c r="D949" s="4">
        <v>1</v>
      </c>
      <c r="E949" s="4">
        <v>208</v>
      </c>
      <c r="F949" s="4">
        <f>Source!V926</f>
        <v>0</v>
      </c>
      <c r="G949" s="4" t="s">
        <v>92</v>
      </c>
      <c r="H949" s="4" t="s">
        <v>93</v>
      </c>
      <c r="I949" s="4"/>
      <c r="J949" s="4"/>
      <c r="K949" s="4">
        <v>208</v>
      </c>
      <c r="L949" s="4">
        <v>22</v>
      </c>
      <c r="M949" s="4">
        <v>3</v>
      </c>
      <c r="N949" s="4" t="s">
        <v>3</v>
      </c>
      <c r="O949" s="4">
        <v>-1</v>
      </c>
      <c r="P949" s="4"/>
      <c r="Q949" s="4"/>
      <c r="R949" s="4"/>
      <c r="S949" s="4"/>
      <c r="T949" s="4"/>
      <c r="U949" s="4"/>
      <c r="V949" s="4"/>
      <c r="W949" s="4"/>
    </row>
    <row r="950" spans="1:206" x14ac:dyDescent="0.2">
      <c r="A950" s="4">
        <v>50</v>
      </c>
      <c r="B950" s="4">
        <v>0</v>
      </c>
      <c r="C950" s="4">
        <v>0</v>
      </c>
      <c r="D950" s="4">
        <v>1</v>
      </c>
      <c r="E950" s="4">
        <v>209</v>
      </c>
      <c r="F950" s="4">
        <f>ROUND(Source!W926,O950)</f>
        <v>0</v>
      </c>
      <c r="G950" s="4" t="s">
        <v>94</v>
      </c>
      <c r="H950" s="4" t="s">
        <v>95</v>
      </c>
      <c r="I950" s="4"/>
      <c r="J950" s="4"/>
      <c r="K950" s="4">
        <v>209</v>
      </c>
      <c r="L950" s="4">
        <v>23</v>
      </c>
      <c r="M950" s="4">
        <v>3</v>
      </c>
      <c r="N950" s="4" t="s">
        <v>3</v>
      </c>
      <c r="O950" s="4">
        <v>2</v>
      </c>
      <c r="P950" s="4"/>
      <c r="Q950" s="4"/>
      <c r="R950" s="4"/>
      <c r="S950" s="4"/>
      <c r="T950" s="4"/>
      <c r="U950" s="4"/>
      <c r="V950" s="4"/>
      <c r="W950" s="4"/>
    </row>
    <row r="951" spans="1:206" x14ac:dyDescent="0.2">
      <c r="A951" s="4">
        <v>50</v>
      </c>
      <c r="B951" s="4">
        <v>0</v>
      </c>
      <c r="C951" s="4">
        <v>0</v>
      </c>
      <c r="D951" s="4">
        <v>1</v>
      </c>
      <c r="E951" s="4">
        <v>233</v>
      </c>
      <c r="F951" s="4">
        <f>ROUND(Source!BD926,O951)</f>
        <v>0</v>
      </c>
      <c r="G951" s="4" t="s">
        <v>96</v>
      </c>
      <c r="H951" s="4" t="s">
        <v>97</v>
      </c>
      <c r="I951" s="4"/>
      <c r="J951" s="4"/>
      <c r="K951" s="4">
        <v>233</v>
      </c>
      <c r="L951" s="4">
        <v>24</v>
      </c>
      <c r="M951" s="4">
        <v>3</v>
      </c>
      <c r="N951" s="4" t="s">
        <v>3</v>
      </c>
      <c r="O951" s="4">
        <v>2</v>
      </c>
      <c r="P951" s="4"/>
      <c r="Q951" s="4"/>
      <c r="R951" s="4"/>
      <c r="S951" s="4"/>
      <c r="T951" s="4"/>
      <c r="U951" s="4"/>
      <c r="V951" s="4"/>
      <c r="W951" s="4"/>
    </row>
    <row r="952" spans="1:206" x14ac:dyDescent="0.2">
      <c r="A952" s="4">
        <v>50</v>
      </c>
      <c r="B952" s="4">
        <v>0</v>
      </c>
      <c r="C952" s="4">
        <v>0</v>
      </c>
      <c r="D952" s="4">
        <v>1</v>
      </c>
      <c r="E952" s="4">
        <v>210</v>
      </c>
      <c r="F952" s="4">
        <f>ROUND(Source!X926,O952)</f>
        <v>861963.6</v>
      </c>
      <c r="G952" s="4" t="s">
        <v>98</v>
      </c>
      <c r="H952" s="4" t="s">
        <v>99</v>
      </c>
      <c r="I952" s="4"/>
      <c r="J952" s="4"/>
      <c r="K952" s="4">
        <v>210</v>
      </c>
      <c r="L952" s="4">
        <v>25</v>
      </c>
      <c r="M952" s="4">
        <v>3</v>
      </c>
      <c r="N952" s="4" t="s">
        <v>3</v>
      </c>
      <c r="O952" s="4">
        <v>2</v>
      </c>
      <c r="P952" s="4"/>
      <c r="Q952" s="4"/>
      <c r="R952" s="4"/>
      <c r="S952" s="4"/>
      <c r="T952" s="4"/>
      <c r="U952" s="4"/>
      <c r="V952" s="4"/>
      <c r="W952" s="4"/>
    </row>
    <row r="953" spans="1:206" x14ac:dyDescent="0.2">
      <c r="A953" s="4">
        <v>50</v>
      </c>
      <c r="B953" s="4">
        <v>0</v>
      </c>
      <c r="C953" s="4">
        <v>0</v>
      </c>
      <c r="D953" s="4">
        <v>1</v>
      </c>
      <c r="E953" s="4">
        <v>211</v>
      </c>
      <c r="F953" s="4">
        <f>ROUND(Source!Y926,O953)</f>
        <v>123137.73</v>
      </c>
      <c r="G953" s="4" t="s">
        <v>100</v>
      </c>
      <c r="H953" s="4" t="s">
        <v>101</v>
      </c>
      <c r="I953" s="4"/>
      <c r="J953" s="4"/>
      <c r="K953" s="4">
        <v>211</v>
      </c>
      <c r="L953" s="4">
        <v>26</v>
      </c>
      <c r="M953" s="4">
        <v>3</v>
      </c>
      <c r="N953" s="4" t="s">
        <v>3</v>
      </c>
      <c r="O953" s="4">
        <v>2</v>
      </c>
      <c r="P953" s="4"/>
      <c r="Q953" s="4"/>
      <c r="R953" s="4"/>
      <c r="S953" s="4"/>
      <c r="T953" s="4"/>
      <c r="U953" s="4"/>
      <c r="V953" s="4"/>
      <c r="W953" s="4"/>
    </row>
    <row r="954" spans="1:206" x14ac:dyDescent="0.2">
      <c r="A954" s="4">
        <v>50</v>
      </c>
      <c r="B954" s="4">
        <v>0</v>
      </c>
      <c r="C954" s="4">
        <v>0</v>
      </c>
      <c r="D954" s="4">
        <v>1</v>
      </c>
      <c r="E954" s="4">
        <v>224</v>
      </c>
      <c r="F954" s="4">
        <f>ROUND(Source!AR926,O954)</f>
        <v>6627373.0999999996</v>
      </c>
      <c r="G954" s="4" t="s">
        <v>102</v>
      </c>
      <c r="H954" s="4" t="s">
        <v>103</v>
      </c>
      <c r="I954" s="4"/>
      <c r="J954" s="4"/>
      <c r="K954" s="4">
        <v>224</v>
      </c>
      <c r="L954" s="4">
        <v>27</v>
      </c>
      <c r="M954" s="4">
        <v>3</v>
      </c>
      <c r="N954" s="4" t="s">
        <v>3</v>
      </c>
      <c r="O954" s="4">
        <v>2</v>
      </c>
      <c r="P954" s="4"/>
      <c r="Q954" s="4"/>
      <c r="R954" s="4"/>
      <c r="S954" s="4"/>
      <c r="T954" s="4"/>
      <c r="U954" s="4"/>
      <c r="V954" s="4"/>
      <c r="W954" s="4"/>
    </row>
    <row r="956" spans="1:206" x14ac:dyDescent="0.2">
      <c r="A956" s="2">
        <v>51</v>
      </c>
      <c r="B956" s="2">
        <f>B12</f>
        <v>996</v>
      </c>
      <c r="C956" s="2">
        <f>A12</f>
        <v>1</v>
      </c>
      <c r="D956" s="2">
        <f>ROW(A12)</f>
        <v>12</v>
      </c>
      <c r="E956" s="2"/>
      <c r="F956" s="2" t="str">
        <f>IF(F12&lt;&gt;"",F12,"")</f>
        <v/>
      </c>
      <c r="G956" s="2" t="str">
        <f>IF(G12&lt;&gt;"",G12,"")</f>
        <v>Выполнение работ по проведению ремонта прилегающей территории для нужд ГБОУ Школа № 630</v>
      </c>
      <c r="H956" s="2">
        <v>0</v>
      </c>
      <c r="I956" s="2"/>
      <c r="J956" s="2"/>
      <c r="K956" s="2"/>
      <c r="L956" s="2"/>
      <c r="M956" s="2"/>
      <c r="N956" s="2"/>
      <c r="O956" s="2">
        <f t="shared" ref="O956:T956" si="407">ROUND(O926,2)</f>
        <v>5281728.7</v>
      </c>
      <c r="P956" s="2">
        <f t="shared" si="407"/>
        <v>3342900.05</v>
      </c>
      <c r="Q956" s="2">
        <f t="shared" si="407"/>
        <v>707452.06</v>
      </c>
      <c r="R956" s="2">
        <f t="shared" si="407"/>
        <v>411693.91</v>
      </c>
      <c r="S956" s="2">
        <f t="shared" si="407"/>
        <v>1231376.5900000001</v>
      </c>
      <c r="T956" s="2">
        <f t="shared" si="407"/>
        <v>0</v>
      </c>
      <c r="U956" s="2">
        <f>U926</f>
        <v>5252.6637286000005</v>
      </c>
      <c r="V956" s="2">
        <f>V926</f>
        <v>0</v>
      </c>
      <c r="W956" s="2">
        <f>ROUND(W926,2)</f>
        <v>0</v>
      </c>
      <c r="X956" s="2">
        <f>ROUND(X926,2)</f>
        <v>861963.6</v>
      </c>
      <c r="Y956" s="2">
        <f>ROUND(Y926,2)</f>
        <v>123137.73</v>
      </c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>
        <f t="shared" ref="AO956:BD956" si="408">ROUND(AO926,2)</f>
        <v>0</v>
      </c>
      <c r="AP956" s="2">
        <f t="shared" si="408"/>
        <v>0</v>
      </c>
      <c r="AQ956" s="2">
        <f t="shared" si="408"/>
        <v>0</v>
      </c>
      <c r="AR956" s="2">
        <f t="shared" si="408"/>
        <v>6627373.0999999996</v>
      </c>
      <c r="AS956" s="2">
        <f t="shared" si="408"/>
        <v>0</v>
      </c>
      <c r="AT956" s="2">
        <f t="shared" si="408"/>
        <v>0</v>
      </c>
      <c r="AU956" s="2">
        <f t="shared" si="408"/>
        <v>6627373.0999999996</v>
      </c>
      <c r="AV956" s="2">
        <f t="shared" si="408"/>
        <v>3342900.05</v>
      </c>
      <c r="AW956" s="2">
        <f t="shared" si="408"/>
        <v>3342900.05</v>
      </c>
      <c r="AX956" s="2">
        <f t="shared" si="408"/>
        <v>0</v>
      </c>
      <c r="AY956" s="2">
        <f t="shared" si="408"/>
        <v>3342900.05</v>
      </c>
      <c r="AZ956" s="2">
        <f t="shared" si="408"/>
        <v>0</v>
      </c>
      <c r="BA956" s="2">
        <f t="shared" si="408"/>
        <v>0</v>
      </c>
      <c r="BB956" s="2">
        <f t="shared" si="408"/>
        <v>0</v>
      </c>
      <c r="BC956" s="2">
        <f t="shared" si="408"/>
        <v>0</v>
      </c>
      <c r="BD956" s="2">
        <f t="shared" si="408"/>
        <v>0</v>
      </c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3"/>
      <c r="DH956" s="3"/>
      <c r="DI956" s="3"/>
      <c r="DJ956" s="3"/>
      <c r="DK956" s="3"/>
      <c r="DL956" s="3"/>
      <c r="DM956" s="3"/>
      <c r="DN956" s="3"/>
      <c r="DO956" s="3"/>
      <c r="DP956" s="3"/>
      <c r="DQ956" s="3"/>
      <c r="DR956" s="3"/>
      <c r="DS956" s="3"/>
      <c r="DT956" s="3"/>
      <c r="DU956" s="3"/>
      <c r="DV956" s="3"/>
      <c r="DW956" s="3"/>
      <c r="DX956" s="3"/>
      <c r="DY956" s="3"/>
      <c r="DZ956" s="3"/>
      <c r="EA956" s="3"/>
      <c r="EB956" s="3"/>
      <c r="EC956" s="3"/>
      <c r="ED956" s="3"/>
      <c r="EE956" s="3"/>
      <c r="EF956" s="3"/>
      <c r="EG956" s="3"/>
      <c r="EH956" s="3"/>
      <c r="EI956" s="3"/>
      <c r="EJ956" s="3"/>
      <c r="EK956" s="3"/>
      <c r="EL956" s="3"/>
      <c r="EM956" s="3"/>
      <c r="EN956" s="3"/>
      <c r="EO956" s="3"/>
      <c r="EP956" s="3"/>
      <c r="EQ956" s="3"/>
      <c r="ER956" s="3"/>
      <c r="ES956" s="3"/>
      <c r="ET956" s="3"/>
      <c r="EU956" s="3"/>
      <c r="EV956" s="3"/>
      <c r="EW956" s="3"/>
      <c r="EX956" s="3"/>
      <c r="EY956" s="3"/>
      <c r="EZ956" s="3"/>
      <c r="FA956" s="3"/>
      <c r="FB956" s="3"/>
      <c r="FC956" s="3"/>
      <c r="FD956" s="3"/>
      <c r="FE956" s="3"/>
      <c r="FF956" s="3"/>
      <c r="FG956" s="3"/>
      <c r="FH956" s="3"/>
      <c r="FI956" s="3"/>
      <c r="FJ956" s="3"/>
      <c r="FK956" s="3"/>
      <c r="FL956" s="3"/>
      <c r="FM956" s="3"/>
      <c r="FN956" s="3"/>
      <c r="FO956" s="3"/>
      <c r="FP956" s="3"/>
      <c r="FQ956" s="3"/>
      <c r="FR956" s="3"/>
      <c r="FS956" s="3"/>
      <c r="FT956" s="3"/>
      <c r="FU956" s="3"/>
      <c r="FV956" s="3"/>
      <c r="FW956" s="3"/>
      <c r="FX956" s="3"/>
      <c r="FY956" s="3"/>
      <c r="FZ956" s="3"/>
      <c r="GA956" s="3"/>
      <c r="GB956" s="3"/>
      <c r="GC956" s="3"/>
      <c r="GD956" s="3"/>
      <c r="GE956" s="3"/>
      <c r="GF956" s="3"/>
      <c r="GG956" s="3"/>
      <c r="GH956" s="3"/>
      <c r="GI956" s="3"/>
      <c r="GJ956" s="3"/>
      <c r="GK956" s="3"/>
      <c r="GL956" s="3"/>
      <c r="GM956" s="3"/>
      <c r="GN956" s="3"/>
      <c r="GO956" s="3"/>
      <c r="GP956" s="3"/>
      <c r="GQ956" s="3"/>
      <c r="GR956" s="3"/>
      <c r="GS956" s="3"/>
      <c r="GT956" s="3"/>
      <c r="GU956" s="3"/>
      <c r="GV956" s="3"/>
      <c r="GW956" s="3"/>
      <c r="GX956" s="3">
        <v>0</v>
      </c>
    </row>
    <row r="958" spans="1:206" x14ac:dyDescent="0.2">
      <c r="A958" s="4">
        <v>50</v>
      </c>
      <c r="B958" s="4">
        <v>0</v>
      </c>
      <c r="C958" s="4">
        <v>0</v>
      </c>
      <c r="D958" s="4">
        <v>1</v>
      </c>
      <c r="E958" s="4">
        <v>201</v>
      </c>
      <c r="F958" s="4">
        <f>ROUND(Source!O956,O958)</f>
        <v>5281728.7</v>
      </c>
      <c r="G958" s="4" t="s">
        <v>50</v>
      </c>
      <c r="H958" s="4" t="s">
        <v>51</v>
      </c>
      <c r="I958" s="4"/>
      <c r="J958" s="4"/>
      <c r="K958" s="4">
        <v>201</v>
      </c>
      <c r="L958" s="4">
        <v>1</v>
      </c>
      <c r="M958" s="4">
        <v>3</v>
      </c>
      <c r="N958" s="4" t="s">
        <v>3</v>
      </c>
      <c r="O958" s="4">
        <v>2</v>
      </c>
      <c r="P958" s="4"/>
      <c r="Q958" s="4"/>
      <c r="R958" s="4"/>
      <c r="S958" s="4"/>
      <c r="T958" s="4"/>
      <c r="U958" s="4"/>
      <c r="V958" s="4"/>
      <c r="W958" s="4"/>
    </row>
    <row r="959" spans="1:206" x14ac:dyDescent="0.2">
      <c r="A959" s="4">
        <v>50</v>
      </c>
      <c r="B959" s="4">
        <v>0</v>
      </c>
      <c r="C959" s="4">
        <v>0</v>
      </c>
      <c r="D959" s="4">
        <v>1</v>
      </c>
      <c r="E959" s="4">
        <v>202</v>
      </c>
      <c r="F959" s="4">
        <f>ROUND(Source!P956,O959)</f>
        <v>3342900.05</v>
      </c>
      <c r="G959" s="4" t="s">
        <v>52</v>
      </c>
      <c r="H959" s="4" t="s">
        <v>53</v>
      </c>
      <c r="I959" s="4"/>
      <c r="J959" s="4"/>
      <c r="K959" s="4">
        <v>202</v>
      </c>
      <c r="L959" s="4">
        <v>2</v>
      </c>
      <c r="M959" s="4">
        <v>3</v>
      </c>
      <c r="N959" s="4" t="s">
        <v>3</v>
      </c>
      <c r="O959" s="4">
        <v>2</v>
      </c>
      <c r="P959" s="4"/>
      <c r="Q959" s="4"/>
      <c r="R959" s="4"/>
      <c r="S959" s="4"/>
      <c r="T959" s="4"/>
      <c r="U959" s="4"/>
      <c r="V959" s="4"/>
      <c r="W959" s="4"/>
    </row>
    <row r="960" spans="1:206" x14ac:dyDescent="0.2">
      <c r="A960" s="4">
        <v>50</v>
      </c>
      <c r="B960" s="4">
        <v>0</v>
      </c>
      <c r="C960" s="4">
        <v>0</v>
      </c>
      <c r="D960" s="4">
        <v>1</v>
      </c>
      <c r="E960" s="4">
        <v>222</v>
      </c>
      <c r="F960" s="4">
        <f>ROUND(Source!AO956,O960)</f>
        <v>0</v>
      </c>
      <c r="G960" s="4" t="s">
        <v>54</v>
      </c>
      <c r="H960" s="4" t="s">
        <v>55</v>
      </c>
      <c r="I960" s="4"/>
      <c r="J960" s="4"/>
      <c r="K960" s="4">
        <v>222</v>
      </c>
      <c r="L960" s="4">
        <v>3</v>
      </c>
      <c r="M960" s="4">
        <v>3</v>
      </c>
      <c r="N960" s="4" t="s">
        <v>3</v>
      </c>
      <c r="O960" s="4">
        <v>2</v>
      </c>
      <c r="P960" s="4"/>
      <c r="Q960" s="4"/>
      <c r="R960" s="4"/>
      <c r="S960" s="4"/>
      <c r="T960" s="4"/>
      <c r="U960" s="4"/>
      <c r="V960" s="4"/>
      <c r="W960" s="4"/>
    </row>
    <row r="961" spans="1:23" x14ac:dyDescent="0.2">
      <c r="A961" s="4">
        <v>50</v>
      </c>
      <c r="B961" s="4">
        <v>0</v>
      </c>
      <c r="C961" s="4">
        <v>0</v>
      </c>
      <c r="D961" s="4">
        <v>1</v>
      </c>
      <c r="E961" s="4">
        <v>225</v>
      </c>
      <c r="F961" s="4">
        <f>ROUND(Source!AV956,O961)</f>
        <v>3342900.05</v>
      </c>
      <c r="G961" s="4" t="s">
        <v>56</v>
      </c>
      <c r="H961" s="4" t="s">
        <v>57</v>
      </c>
      <c r="I961" s="4"/>
      <c r="J961" s="4"/>
      <c r="K961" s="4">
        <v>225</v>
      </c>
      <c r="L961" s="4">
        <v>4</v>
      </c>
      <c r="M961" s="4">
        <v>3</v>
      </c>
      <c r="N961" s="4" t="s">
        <v>3</v>
      </c>
      <c r="O961" s="4">
        <v>2</v>
      </c>
      <c r="P961" s="4"/>
      <c r="Q961" s="4"/>
      <c r="R961" s="4"/>
      <c r="S961" s="4"/>
      <c r="T961" s="4"/>
      <c r="U961" s="4"/>
      <c r="V961" s="4"/>
      <c r="W961" s="4"/>
    </row>
    <row r="962" spans="1:23" x14ac:dyDescent="0.2">
      <c r="A962" s="4">
        <v>50</v>
      </c>
      <c r="B962" s="4">
        <v>0</v>
      </c>
      <c r="C962" s="4">
        <v>0</v>
      </c>
      <c r="D962" s="4">
        <v>1</v>
      </c>
      <c r="E962" s="4">
        <v>226</v>
      </c>
      <c r="F962" s="4">
        <f>ROUND(Source!AW956,O962)</f>
        <v>3342900.05</v>
      </c>
      <c r="G962" s="4" t="s">
        <v>58</v>
      </c>
      <c r="H962" s="4" t="s">
        <v>59</v>
      </c>
      <c r="I962" s="4"/>
      <c r="J962" s="4"/>
      <c r="K962" s="4">
        <v>226</v>
      </c>
      <c r="L962" s="4">
        <v>5</v>
      </c>
      <c r="M962" s="4">
        <v>3</v>
      </c>
      <c r="N962" s="4" t="s">
        <v>3</v>
      </c>
      <c r="O962" s="4">
        <v>2</v>
      </c>
      <c r="P962" s="4"/>
      <c r="Q962" s="4"/>
      <c r="R962" s="4"/>
      <c r="S962" s="4"/>
      <c r="T962" s="4"/>
      <c r="U962" s="4"/>
      <c r="V962" s="4"/>
      <c r="W962" s="4"/>
    </row>
    <row r="963" spans="1:23" x14ac:dyDescent="0.2">
      <c r="A963" s="4">
        <v>50</v>
      </c>
      <c r="B963" s="4">
        <v>0</v>
      </c>
      <c r="C963" s="4">
        <v>0</v>
      </c>
      <c r="D963" s="4">
        <v>1</v>
      </c>
      <c r="E963" s="4">
        <v>227</v>
      </c>
      <c r="F963" s="4">
        <f>ROUND(Source!AX956,O963)</f>
        <v>0</v>
      </c>
      <c r="G963" s="4" t="s">
        <v>60</v>
      </c>
      <c r="H963" s="4" t="s">
        <v>61</v>
      </c>
      <c r="I963" s="4"/>
      <c r="J963" s="4"/>
      <c r="K963" s="4">
        <v>227</v>
      </c>
      <c r="L963" s="4">
        <v>6</v>
      </c>
      <c r="M963" s="4">
        <v>3</v>
      </c>
      <c r="N963" s="4" t="s">
        <v>3</v>
      </c>
      <c r="O963" s="4">
        <v>2</v>
      </c>
      <c r="P963" s="4"/>
      <c r="Q963" s="4"/>
      <c r="R963" s="4"/>
      <c r="S963" s="4"/>
      <c r="T963" s="4"/>
      <c r="U963" s="4"/>
      <c r="V963" s="4"/>
      <c r="W963" s="4"/>
    </row>
    <row r="964" spans="1:23" x14ac:dyDescent="0.2">
      <c r="A964" s="4">
        <v>50</v>
      </c>
      <c r="B964" s="4">
        <v>0</v>
      </c>
      <c r="C964" s="4">
        <v>0</v>
      </c>
      <c r="D964" s="4">
        <v>1</v>
      </c>
      <c r="E964" s="4">
        <v>228</v>
      </c>
      <c r="F964" s="4">
        <f>ROUND(Source!AY956,O964)</f>
        <v>3342900.05</v>
      </c>
      <c r="G964" s="4" t="s">
        <v>62</v>
      </c>
      <c r="H964" s="4" t="s">
        <v>63</v>
      </c>
      <c r="I964" s="4"/>
      <c r="J964" s="4"/>
      <c r="K964" s="4">
        <v>228</v>
      </c>
      <c r="L964" s="4">
        <v>7</v>
      </c>
      <c r="M964" s="4">
        <v>3</v>
      </c>
      <c r="N964" s="4" t="s">
        <v>3</v>
      </c>
      <c r="O964" s="4">
        <v>2</v>
      </c>
      <c r="P964" s="4"/>
      <c r="Q964" s="4"/>
      <c r="R964" s="4"/>
      <c r="S964" s="4"/>
      <c r="T964" s="4"/>
      <c r="U964" s="4"/>
      <c r="V964" s="4"/>
      <c r="W964" s="4"/>
    </row>
    <row r="965" spans="1:23" x14ac:dyDescent="0.2">
      <c r="A965" s="4">
        <v>50</v>
      </c>
      <c r="B965" s="4">
        <v>0</v>
      </c>
      <c r="C965" s="4">
        <v>0</v>
      </c>
      <c r="D965" s="4">
        <v>1</v>
      </c>
      <c r="E965" s="4">
        <v>216</v>
      </c>
      <c r="F965" s="4">
        <f>ROUND(Source!AP956,O965)</f>
        <v>0</v>
      </c>
      <c r="G965" s="4" t="s">
        <v>64</v>
      </c>
      <c r="H965" s="4" t="s">
        <v>65</v>
      </c>
      <c r="I965" s="4"/>
      <c r="J965" s="4"/>
      <c r="K965" s="4">
        <v>216</v>
      </c>
      <c r="L965" s="4">
        <v>8</v>
      </c>
      <c r="M965" s="4">
        <v>3</v>
      </c>
      <c r="N965" s="4" t="s">
        <v>3</v>
      </c>
      <c r="O965" s="4">
        <v>2</v>
      </c>
      <c r="P965" s="4"/>
      <c r="Q965" s="4"/>
      <c r="R965" s="4"/>
      <c r="S965" s="4"/>
      <c r="T965" s="4"/>
      <c r="U965" s="4"/>
      <c r="V965" s="4"/>
      <c r="W965" s="4"/>
    </row>
    <row r="966" spans="1:23" x14ac:dyDescent="0.2">
      <c r="A966" s="4">
        <v>50</v>
      </c>
      <c r="B966" s="4">
        <v>0</v>
      </c>
      <c r="C966" s="4">
        <v>0</v>
      </c>
      <c r="D966" s="4">
        <v>1</v>
      </c>
      <c r="E966" s="4">
        <v>223</v>
      </c>
      <c r="F966" s="4">
        <f>ROUND(Source!AQ956,O966)</f>
        <v>0</v>
      </c>
      <c r="G966" s="4" t="s">
        <v>66</v>
      </c>
      <c r="H966" s="4" t="s">
        <v>67</v>
      </c>
      <c r="I966" s="4"/>
      <c r="J966" s="4"/>
      <c r="K966" s="4">
        <v>223</v>
      </c>
      <c r="L966" s="4">
        <v>9</v>
      </c>
      <c r="M966" s="4">
        <v>3</v>
      </c>
      <c r="N966" s="4" t="s">
        <v>3</v>
      </c>
      <c r="O966" s="4">
        <v>2</v>
      </c>
      <c r="P966" s="4"/>
      <c r="Q966" s="4"/>
      <c r="R966" s="4"/>
      <c r="S966" s="4"/>
      <c r="T966" s="4"/>
      <c r="U966" s="4"/>
      <c r="V966" s="4"/>
      <c r="W966" s="4"/>
    </row>
    <row r="967" spans="1:23" x14ac:dyDescent="0.2">
      <c r="A967" s="4">
        <v>50</v>
      </c>
      <c r="B967" s="4">
        <v>0</v>
      </c>
      <c r="C967" s="4">
        <v>0</v>
      </c>
      <c r="D967" s="4">
        <v>1</v>
      </c>
      <c r="E967" s="4">
        <v>229</v>
      </c>
      <c r="F967" s="4">
        <f>ROUND(Source!AZ956,O967)</f>
        <v>0</v>
      </c>
      <c r="G967" s="4" t="s">
        <v>68</v>
      </c>
      <c r="H967" s="4" t="s">
        <v>69</v>
      </c>
      <c r="I967" s="4"/>
      <c r="J967" s="4"/>
      <c r="K967" s="4">
        <v>229</v>
      </c>
      <c r="L967" s="4">
        <v>10</v>
      </c>
      <c r="M967" s="4">
        <v>3</v>
      </c>
      <c r="N967" s="4" t="s">
        <v>3</v>
      </c>
      <c r="O967" s="4">
        <v>2</v>
      </c>
      <c r="P967" s="4"/>
      <c r="Q967" s="4"/>
      <c r="R967" s="4"/>
      <c r="S967" s="4"/>
      <c r="T967" s="4"/>
      <c r="U967" s="4"/>
      <c r="V967" s="4"/>
      <c r="W967" s="4"/>
    </row>
    <row r="968" spans="1:23" x14ac:dyDescent="0.2">
      <c r="A968" s="4">
        <v>50</v>
      </c>
      <c r="B968" s="4">
        <v>0</v>
      </c>
      <c r="C968" s="4">
        <v>0</v>
      </c>
      <c r="D968" s="4">
        <v>1</v>
      </c>
      <c r="E968" s="4">
        <v>203</v>
      </c>
      <c r="F968" s="4">
        <f>ROUND(Source!Q956,O968)</f>
        <v>707452.06</v>
      </c>
      <c r="G968" s="4" t="s">
        <v>70</v>
      </c>
      <c r="H968" s="4" t="s">
        <v>71</v>
      </c>
      <c r="I968" s="4"/>
      <c r="J968" s="4"/>
      <c r="K968" s="4">
        <v>203</v>
      </c>
      <c r="L968" s="4">
        <v>11</v>
      </c>
      <c r="M968" s="4">
        <v>3</v>
      </c>
      <c r="N968" s="4" t="s">
        <v>3</v>
      </c>
      <c r="O968" s="4">
        <v>2</v>
      </c>
      <c r="P968" s="4"/>
      <c r="Q968" s="4"/>
      <c r="R968" s="4"/>
      <c r="S968" s="4"/>
      <c r="T968" s="4"/>
      <c r="U968" s="4"/>
      <c r="V968" s="4"/>
      <c r="W968" s="4"/>
    </row>
    <row r="969" spans="1:23" x14ac:dyDescent="0.2">
      <c r="A969" s="4">
        <v>50</v>
      </c>
      <c r="B969" s="4">
        <v>0</v>
      </c>
      <c r="C969" s="4">
        <v>0</v>
      </c>
      <c r="D969" s="4">
        <v>1</v>
      </c>
      <c r="E969" s="4">
        <v>231</v>
      </c>
      <c r="F969" s="4">
        <f>ROUND(Source!BB956,O969)</f>
        <v>0</v>
      </c>
      <c r="G969" s="4" t="s">
        <v>72</v>
      </c>
      <c r="H969" s="4" t="s">
        <v>73</v>
      </c>
      <c r="I969" s="4"/>
      <c r="J969" s="4"/>
      <c r="K969" s="4">
        <v>231</v>
      </c>
      <c r="L969" s="4">
        <v>12</v>
      </c>
      <c r="M969" s="4">
        <v>3</v>
      </c>
      <c r="N969" s="4" t="s">
        <v>3</v>
      </c>
      <c r="O969" s="4">
        <v>2</v>
      </c>
      <c r="P969" s="4"/>
      <c r="Q969" s="4"/>
      <c r="R969" s="4"/>
      <c r="S969" s="4"/>
      <c r="T969" s="4"/>
      <c r="U969" s="4"/>
      <c r="V969" s="4"/>
      <c r="W969" s="4"/>
    </row>
    <row r="970" spans="1:23" x14ac:dyDescent="0.2">
      <c r="A970" s="4">
        <v>50</v>
      </c>
      <c r="B970" s="4">
        <v>0</v>
      </c>
      <c r="C970" s="4">
        <v>0</v>
      </c>
      <c r="D970" s="4">
        <v>1</v>
      </c>
      <c r="E970" s="4">
        <v>204</v>
      </c>
      <c r="F970" s="4">
        <f>ROUND(Source!R956,O970)</f>
        <v>411693.91</v>
      </c>
      <c r="G970" s="4" t="s">
        <v>74</v>
      </c>
      <c r="H970" s="4" t="s">
        <v>75</v>
      </c>
      <c r="I970" s="4"/>
      <c r="J970" s="4"/>
      <c r="K970" s="4">
        <v>204</v>
      </c>
      <c r="L970" s="4">
        <v>13</v>
      </c>
      <c r="M970" s="4">
        <v>3</v>
      </c>
      <c r="N970" s="4" t="s">
        <v>3</v>
      </c>
      <c r="O970" s="4">
        <v>2</v>
      </c>
      <c r="P970" s="4"/>
      <c r="Q970" s="4"/>
      <c r="R970" s="4"/>
      <c r="S970" s="4"/>
      <c r="T970" s="4"/>
      <c r="U970" s="4"/>
      <c r="V970" s="4"/>
      <c r="W970" s="4"/>
    </row>
    <row r="971" spans="1:23" x14ac:dyDescent="0.2">
      <c r="A971" s="4">
        <v>50</v>
      </c>
      <c r="B971" s="4">
        <v>0</v>
      </c>
      <c r="C971" s="4">
        <v>0</v>
      </c>
      <c r="D971" s="4">
        <v>1</v>
      </c>
      <c r="E971" s="4">
        <v>205</v>
      </c>
      <c r="F971" s="4">
        <f>ROUND(Source!S956,O971)</f>
        <v>1231376.5900000001</v>
      </c>
      <c r="G971" s="4" t="s">
        <v>76</v>
      </c>
      <c r="H971" s="4" t="s">
        <v>77</v>
      </c>
      <c r="I971" s="4"/>
      <c r="J971" s="4"/>
      <c r="K971" s="4">
        <v>205</v>
      </c>
      <c r="L971" s="4">
        <v>14</v>
      </c>
      <c r="M971" s="4">
        <v>3</v>
      </c>
      <c r="N971" s="4" t="s">
        <v>3</v>
      </c>
      <c r="O971" s="4">
        <v>2</v>
      </c>
      <c r="P971" s="4"/>
      <c r="Q971" s="4"/>
      <c r="R971" s="4"/>
      <c r="S971" s="4"/>
      <c r="T971" s="4"/>
      <c r="U971" s="4"/>
      <c r="V971" s="4"/>
      <c r="W971" s="4"/>
    </row>
    <row r="972" spans="1:23" x14ac:dyDescent="0.2">
      <c r="A972" s="4">
        <v>50</v>
      </c>
      <c r="B972" s="4">
        <v>0</v>
      </c>
      <c r="C972" s="4">
        <v>0</v>
      </c>
      <c r="D972" s="4">
        <v>1</v>
      </c>
      <c r="E972" s="4">
        <v>232</v>
      </c>
      <c r="F972" s="4">
        <f>ROUND(Source!BC956,O972)</f>
        <v>0</v>
      </c>
      <c r="G972" s="4" t="s">
        <v>78</v>
      </c>
      <c r="H972" s="4" t="s">
        <v>79</v>
      </c>
      <c r="I972" s="4"/>
      <c r="J972" s="4"/>
      <c r="K972" s="4">
        <v>232</v>
      </c>
      <c r="L972" s="4">
        <v>15</v>
      </c>
      <c r="M972" s="4">
        <v>3</v>
      </c>
      <c r="N972" s="4" t="s">
        <v>3</v>
      </c>
      <c r="O972" s="4">
        <v>2</v>
      </c>
      <c r="P972" s="4"/>
      <c r="Q972" s="4"/>
      <c r="R972" s="4"/>
      <c r="S972" s="4"/>
      <c r="T972" s="4"/>
      <c r="U972" s="4"/>
      <c r="V972" s="4"/>
      <c r="W972" s="4"/>
    </row>
    <row r="973" spans="1:23" x14ac:dyDescent="0.2">
      <c r="A973" s="4">
        <v>50</v>
      </c>
      <c r="B973" s="4">
        <v>0</v>
      </c>
      <c r="C973" s="4">
        <v>0</v>
      </c>
      <c r="D973" s="4">
        <v>1</v>
      </c>
      <c r="E973" s="4">
        <v>214</v>
      </c>
      <c r="F973" s="4">
        <f>ROUND(Source!AS956,O973)</f>
        <v>0</v>
      </c>
      <c r="G973" s="4" t="s">
        <v>80</v>
      </c>
      <c r="H973" s="4" t="s">
        <v>81</v>
      </c>
      <c r="I973" s="4"/>
      <c r="J973" s="4"/>
      <c r="K973" s="4">
        <v>214</v>
      </c>
      <c r="L973" s="4">
        <v>16</v>
      </c>
      <c r="M973" s="4">
        <v>3</v>
      </c>
      <c r="N973" s="4" t="s">
        <v>3</v>
      </c>
      <c r="O973" s="4">
        <v>2</v>
      </c>
      <c r="P973" s="4"/>
      <c r="Q973" s="4"/>
      <c r="R973" s="4"/>
      <c r="S973" s="4"/>
      <c r="T973" s="4"/>
      <c r="U973" s="4"/>
      <c r="V973" s="4"/>
      <c r="W973" s="4"/>
    </row>
    <row r="974" spans="1:23" x14ac:dyDescent="0.2">
      <c r="A974" s="4">
        <v>50</v>
      </c>
      <c r="B974" s="4">
        <v>0</v>
      </c>
      <c r="C974" s="4">
        <v>0</v>
      </c>
      <c r="D974" s="4">
        <v>1</v>
      </c>
      <c r="E974" s="4">
        <v>215</v>
      </c>
      <c r="F974" s="4">
        <f>ROUND(Source!AT956,O974)</f>
        <v>0</v>
      </c>
      <c r="G974" s="4" t="s">
        <v>82</v>
      </c>
      <c r="H974" s="4" t="s">
        <v>83</v>
      </c>
      <c r="I974" s="4"/>
      <c r="J974" s="4"/>
      <c r="K974" s="4">
        <v>215</v>
      </c>
      <c r="L974" s="4">
        <v>17</v>
      </c>
      <c r="M974" s="4">
        <v>3</v>
      </c>
      <c r="N974" s="4" t="s">
        <v>3</v>
      </c>
      <c r="O974" s="4">
        <v>2</v>
      </c>
      <c r="P974" s="4"/>
      <c r="Q974" s="4"/>
      <c r="R974" s="4"/>
      <c r="S974" s="4"/>
      <c r="T974" s="4"/>
      <c r="U974" s="4"/>
      <c r="V974" s="4"/>
      <c r="W974" s="4"/>
    </row>
    <row r="975" spans="1:23" x14ac:dyDescent="0.2">
      <c r="A975" s="4">
        <v>50</v>
      </c>
      <c r="B975" s="4">
        <v>0</v>
      </c>
      <c r="C975" s="4">
        <v>0</v>
      </c>
      <c r="D975" s="4">
        <v>1</v>
      </c>
      <c r="E975" s="4">
        <v>217</v>
      </c>
      <c r="F975" s="4">
        <f>ROUND(Source!AU956,O975)</f>
        <v>6627373.0999999996</v>
      </c>
      <c r="G975" s="4" t="s">
        <v>84</v>
      </c>
      <c r="H975" s="4" t="s">
        <v>85</v>
      </c>
      <c r="I975" s="4"/>
      <c r="J975" s="4"/>
      <c r="K975" s="4">
        <v>217</v>
      </c>
      <c r="L975" s="4">
        <v>18</v>
      </c>
      <c r="M975" s="4">
        <v>3</v>
      </c>
      <c r="N975" s="4" t="s">
        <v>3</v>
      </c>
      <c r="O975" s="4">
        <v>2</v>
      </c>
      <c r="P975" s="4"/>
      <c r="Q975" s="4"/>
      <c r="R975" s="4"/>
      <c r="S975" s="4"/>
      <c r="T975" s="4"/>
      <c r="U975" s="4"/>
      <c r="V975" s="4"/>
      <c r="W975" s="4"/>
    </row>
    <row r="976" spans="1:23" x14ac:dyDescent="0.2">
      <c r="A976" s="4">
        <v>50</v>
      </c>
      <c r="B976" s="4">
        <v>0</v>
      </c>
      <c r="C976" s="4">
        <v>0</v>
      </c>
      <c r="D976" s="4">
        <v>1</v>
      </c>
      <c r="E976" s="4">
        <v>230</v>
      </c>
      <c r="F976" s="4">
        <f>ROUND(Source!BA956,O976)</f>
        <v>0</v>
      </c>
      <c r="G976" s="4" t="s">
        <v>86</v>
      </c>
      <c r="H976" s="4" t="s">
        <v>87</v>
      </c>
      <c r="I976" s="4"/>
      <c r="J976" s="4"/>
      <c r="K976" s="4">
        <v>230</v>
      </c>
      <c r="L976" s="4">
        <v>19</v>
      </c>
      <c r="M976" s="4">
        <v>3</v>
      </c>
      <c r="N976" s="4" t="s">
        <v>3</v>
      </c>
      <c r="O976" s="4">
        <v>2</v>
      </c>
      <c r="P976" s="4"/>
      <c r="Q976" s="4"/>
      <c r="R976" s="4"/>
      <c r="S976" s="4"/>
      <c r="T976" s="4"/>
      <c r="U976" s="4"/>
      <c r="V976" s="4"/>
      <c r="W976" s="4"/>
    </row>
    <row r="977" spans="1:23" x14ac:dyDescent="0.2">
      <c r="A977" s="4">
        <v>50</v>
      </c>
      <c r="B977" s="4">
        <v>0</v>
      </c>
      <c r="C977" s="4">
        <v>0</v>
      </c>
      <c r="D977" s="4">
        <v>1</v>
      </c>
      <c r="E977" s="4">
        <v>206</v>
      </c>
      <c r="F977" s="4">
        <f>ROUND(Source!T956,O977)</f>
        <v>0</v>
      </c>
      <c r="G977" s="4" t="s">
        <v>88</v>
      </c>
      <c r="H977" s="4" t="s">
        <v>89</v>
      </c>
      <c r="I977" s="4"/>
      <c r="J977" s="4"/>
      <c r="K977" s="4">
        <v>206</v>
      </c>
      <c r="L977" s="4">
        <v>20</v>
      </c>
      <c r="M977" s="4">
        <v>3</v>
      </c>
      <c r="N977" s="4" t="s">
        <v>3</v>
      </c>
      <c r="O977" s="4">
        <v>2</v>
      </c>
      <c r="P977" s="4"/>
      <c r="Q977" s="4"/>
      <c r="R977" s="4"/>
      <c r="S977" s="4"/>
      <c r="T977" s="4"/>
      <c r="U977" s="4"/>
      <c r="V977" s="4"/>
      <c r="W977" s="4"/>
    </row>
    <row r="978" spans="1:23" x14ac:dyDescent="0.2">
      <c r="A978" s="4">
        <v>50</v>
      </c>
      <c r="B978" s="4">
        <v>0</v>
      </c>
      <c r="C978" s="4">
        <v>0</v>
      </c>
      <c r="D978" s="4">
        <v>1</v>
      </c>
      <c r="E978" s="4">
        <v>207</v>
      </c>
      <c r="F978" s="4">
        <f>Source!U956</f>
        <v>5252.6637286000005</v>
      </c>
      <c r="G978" s="4" t="s">
        <v>90</v>
      </c>
      <c r="H978" s="4" t="s">
        <v>91</v>
      </c>
      <c r="I978" s="4"/>
      <c r="J978" s="4"/>
      <c r="K978" s="4">
        <v>207</v>
      </c>
      <c r="L978" s="4">
        <v>21</v>
      </c>
      <c r="M978" s="4">
        <v>3</v>
      </c>
      <c r="N978" s="4" t="s">
        <v>3</v>
      </c>
      <c r="O978" s="4">
        <v>-1</v>
      </c>
      <c r="P978" s="4"/>
      <c r="Q978" s="4"/>
      <c r="R978" s="4"/>
      <c r="S978" s="4"/>
      <c r="T978" s="4"/>
      <c r="U978" s="4"/>
      <c r="V978" s="4"/>
      <c r="W978" s="4"/>
    </row>
    <row r="979" spans="1:23" x14ac:dyDescent="0.2">
      <c r="A979" s="4">
        <v>50</v>
      </c>
      <c r="B979" s="4">
        <v>0</v>
      </c>
      <c r="C979" s="4">
        <v>0</v>
      </c>
      <c r="D979" s="4">
        <v>1</v>
      </c>
      <c r="E979" s="4">
        <v>208</v>
      </c>
      <c r="F979" s="4">
        <f>Source!V956</f>
        <v>0</v>
      </c>
      <c r="G979" s="4" t="s">
        <v>92</v>
      </c>
      <c r="H979" s="4" t="s">
        <v>93</v>
      </c>
      <c r="I979" s="4"/>
      <c r="J979" s="4"/>
      <c r="K979" s="4">
        <v>208</v>
      </c>
      <c r="L979" s="4">
        <v>22</v>
      </c>
      <c r="M979" s="4">
        <v>3</v>
      </c>
      <c r="N979" s="4" t="s">
        <v>3</v>
      </c>
      <c r="O979" s="4">
        <v>-1</v>
      </c>
      <c r="P979" s="4"/>
      <c r="Q979" s="4"/>
      <c r="R979" s="4"/>
      <c r="S979" s="4"/>
      <c r="T979" s="4"/>
      <c r="U979" s="4"/>
      <c r="V979" s="4"/>
      <c r="W979" s="4"/>
    </row>
    <row r="980" spans="1:23" x14ac:dyDescent="0.2">
      <c r="A980" s="4">
        <v>50</v>
      </c>
      <c r="B980" s="4">
        <v>0</v>
      </c>
      <c r="C980" s="4">
        <v>0</v>
      </c>
      <c r="D980" s="4">
        <v>1</v>
      </c>
      <c r="E980" s="4">
        <v>209</v>
      </c>
      <c r="F980" s="4">
        <f>ROUND(Source!W956,O980)</f>
        <v>0</v>
      </c>
      <c r="G980" s="4" t="s">
        <v>94</v>
      </c>
      <c r="H980" s="4" t="s">
        <v>95</v>
      </c>
      <c r="I980" s="4"/>
      <c r="J980" s="4"/>
      <c r="K980" s="4">
        <v>209</v>
      </c>
      <c r="L980" s="4">
        <v>23</v>
      </c>
      <c r="M980" s="4">
        <v>3</v>
      </c>
      <c r="N980" s="4" t="s">
        <v>3</v>
      </c>
      <c r="O980" s="4">
        <v>2</v>
      </c>
      <c r="P980" s="4"/>
      <c r="Q980" s="4"/>
      <c r="R980" s="4"/>
      <c r="S980" s="4"/>
      <c r="T980" s="4"/>
      <c r="U980" s="4"/>
      <c r="V980" s="4"/>
      <c r="W980" s="4"/>
    </row>
    <row r="981" spans="1:23" x14ac:dyDescent="0.2">
      <c r="A981" s="4">
        <v>50</v>
      </c>
      <c r="B981" s="4">
        <v>0</v>
      </c>
      <c r="C981" s="4">
        <v>0</v>
      </c>
      <c r="D981" s="4">
        <v>1</v>
      </c>
      <c r="E981" s="4">
        <v>233</v>
      </c>
      <c r="F981" s="4">
        <f>ROUND(Source!BD956,O981)</f>
        <v>0</v>
      </c>
      <c r="G981" s="4" t="s">
        <v>96</v>
      </c>
      <c r="H981" s="4" t="s">
        <v>97</v>
      </c>
      <c r="I981" s="4"/>
      <c r="J981" s="4"/>
      <c r="K981" s="4">
        <v>233</v>
      </c>
      <c r="L981" s="4">
        <v>24</v>
      </c>
      <c r="M981" s="4">
        <v>3</v>
      </c>
      <c r="N981" s="4" t="s">
        <v>3</v>
      </c>
      <c r="O981" s="4">
        <v>2</v>
      </c>
      <c r="P981" s="4"/>
      <c r="Q981" s="4"/>
      <c r="R981" s="4"/>
      <c r="S981" s="4"/>
      <c r="T981" s="4"/>
      <c r="U981" s="4"/>
      <c r="V981" s="4"/>
      <c r="W981" s="4"/>
    </row>
    <row r="982" spans="1:23" x14ac:dyDescent="0.2">
      <c r="A982" s="4">
        <v>50</v>
      </c>
      <c r="B982" s="4">
        <v>0</v>
      </c>
      <c r="C982" s="4">
        <v>0</v>
      </c>
      <c r="D982" s="4">
        <v>1</v>
      </c>
      <c r="E982" s="4">
        <v>210</v>
      </c>
      <c r="F982" s="4">
        <f>ROUND(Source!X956,O982)</f>
        <v>861963.6</v>
      </c>
      <c r="G982" s="4" t="s">
        <v>98</v>
      </c>
      <c r="H982" s="4" t="s">
        <v>99</v>
      </c>
      <c r="I982" s="4"/>
      <c r="J982" s="4"/>
      <c r="K982" s="4">
        <v>210</v>
      </c>
      <c r="L982" s="4">
        <v>25</v>
      </c>
      <c r="M982" s="4">
        <v>3</v>
      </c>
      <c r="N982" s="4" t="s">
        <v>3</v>
      </c>
      <c r="O982" s="4">
        <v>2</v>
      </c>
      <c r="P982" s="4"/>
      <c r="Q982" s="4"/>
      <c r="R982" s="4"/>
      <c r="S982" s="4"/>
      <c r="T982" s="4"/>
      <c r="U982" s="4"/>
      <c r="V982" s="4"/>
      <c r="W982" s="4"/>
    </row>
    <row r="983" spans="1:23" x14ac:dyDescent="0.2">
      <c r="A983" s="4">
        <v>50</v>
      </c>
      <c r="B983" s="4">
        <v>0</v>
      </c>
      <c r="C983" s="4">
        <v>0</v>
      </c>
      <c r="D983" s="4">
        <v>1</v>
      </c>
      <c r="E983" s="4">
        <v>211</v>
      </c>
      <c r="F983" s="4">
        <f>ROUND(Source!Y956,O983)</f>
        <v>123137.73</v>
      </c>
      <c r="G983" s="4" t="s">
        <v>100</v>
      </c>
      <c r="H983" s="4" t="s">
        <v>101</v>
      </c>
      <c r="I983" s="4"/>
      <c r="J983" s="4"/>
      <c r="K983" s="4">
        <v>211</v>
      </c>
      <c r="L983" s="4">
        <v>26</v>
      </c>
      <c r="M983" s="4">
        <v>3</v>
      </c>
      <c r="N983" s="4" t="s">
        <v>3</v>
      </c>
      <c r="O983" s="4">
        <v>2</v>
      </c>
      <c r="P983" s="4"/>
      <c r="Q983" s="4"/>
      <c r="R983" s="4"/>
      <c r="S983" s="4"/>
      <c r="T983" s="4"/>
      <c r="U983" s="4"/>
      <c r="V983" s="4"/>
      <c r="W983" s="4"/>
    </row>
    <row r="984" spans="1:23" x14ac:dyDescent="0.2">
      <c r="A984" s="4">
        <v>50</v>
      </c>
      <c r="B984" s="4">
        <v>0</v>
      </c>
      <c r="C984" s="4">
        <v>0</v>
      </c>
      <c r="D984" s="4">
        <v>1</v>
      </c>
      <c r="E984" s="4">
        <v>224</v>
      </c>
      <c r="F984" s="4">
        <f>ROUND(Source!AR956,O984)</f>
        <v>6627373.0999999996</v>
      </c>
      <c r="G984" s="4" t="s">
        <v>102</v>
      </c>
      <c r="H984" s="4" t="s">
        <v>103</v>
      </c>
      <c r="I984" s="4"/>
      <c r="J984" s="4"/>
      <c r="K984" s="4">
        <v>224</v>
      </c>
      <c r="L984" s="4">
        <v>27</v>
      </c>
      <c r="M984" s="4">
        <v>3</v>
      </c>
      <c r="N984" s="4" t="s">
        <v>3</v>
      </c>
      <c r="O984" s="4">
        <v>2</v>
      </c>
      <c r="P984" s="4"/>
      <c r="Q984" s="4"/>
      <c r="R984" s="4"/>
      <c r="S984" s="4"/>
      <c r="T984" s="4"/>
      <c r="U984" s="4"/>
      <c r="V984" s="4"/>
      <c r="W984" s="4"/>
    </row>
    <row r="985" spans="1:23" x14ac:dyDescent="0.2">
      <c r="A985" s="4">
        <v>50</v>
      </c>
      <c r="B985" s="4">
        <v>1</v>
      </c>
      <c r="C985" s="4">
        <v>0</v>
      </c>
      <c r="D985" s="4">
        <v>2</v>
      </c>
      <c r="E985" s="4">
        <v>0</v>
      </c>
      <c r="F985" s="4">
        <f>ROUND(F984,O985)</f>
        <v>6627373.0999999996</v>
      </c>
      <c r="G985" s="4" t="s">
        <v>376</v>
      </c>
      <c r="H985" s="4" t="s">
        <v>377</v>
      </c>
      <c r="I985" s="4"/>
      <c r="J985" s="4"/>
      <c r="K985" s="4">
        <v>212</v>
      </c>
      <c r="L985" s="4">
        <v>28</v>
      </c>
      <c r="M985" s="4">
        <v>0</v>
      </c>
      <c r="N985" s="4" t="s">
        <v>3</v>
      </c>
      <c r="O985" s="4">
        <v>2</v>
      </c>
      <c r="P985" s="4"/>
      <c r="Q985" s="4"/>
      <c r="R985" s="4"/>
      <c r="S985" s="4"/>
      <c r="T985" s="4"/>
      <c r="U985" s="4"/>
      <c r="V985" s="4"/>
      <c r="W985" s="4"/>
    </row>
    <row r="986" spans="1:23" x14ac:dyDescent="0.2">
      <c r="A986" s="4">
        <v>50</v>
      </c>
      <c r="B986" s="4">
        <v>1</v>
      </c>
      <c r="C986" s="4">
        <v>0</v>
      </c>
      <c r="D986" s="4">
        <v>2</v>
      </c>
      <c r="E986" s="4">
        <v>0</v>
      </c>
      <c r="F986" s="4">
        <f>ROUND(F985*0.2,O986)</f>
        <v>1325474.6200000001</v>
      </c>
      <c r="G986" s="4" t="s">
        <v>378</v>
      </c>
      <c r="H986" s="4" t="s">
        <v>379</v>
      </c>
      <c r="I986" s="4"/>
      <c r="J986" s="4"/>
      <c r="K986" s="4">
        <v>212</v>
      </c>
      <c r="L986" s="4">
        <v>29</v>
      </c>
      <c r="M986" s="4">
        <v>0</v>
      </c>
      <c r="N986" s="4" t="s">
        <v>3</v>
      </c>
      <c r="O986" s="4">
        <v>2</v>
      </c>
      <c r="P986" s="4"/>
      <c r="Q986" s="4"/>
      <c r="R986" s="4"/>
      <c r="S986" s="4"/>
      <c r="T986" s="4"/>
      <c r="U986" s="4"/>
      <c r="V986" s="4"/>
      <c r="W986" s="4"/>
    </row>
    <row r="987" spans="1:23" x14ac:dyDescent="0.2">
      <c r="A987" s="4">
        <v>50</v>
      </c>
      <c r="B987" s="4">
        <v>1</v>
      </c>
      <c r="C987" s="4">
        <v>0</v>
      </c>
      <c r="D987" s="4">
        <v>2</v>
      </c>
      <c r="E987" s="4">
        <v>0</v>
      </c>
      <c r="F987" s="4">
        <f>ROUND(F985+F986,O987)</f>
        <v>7952847.7199999997</v>
      </c>
      <c r="G987" s="4" t="s">
        <v>380</v>
      </c>
      <c r="H987" s="4" t="s">
        <v>102</v>
      </c>
      <c r="I987" s="4"/>
      <c r="J987" s="4"/>
      <c r="K987" s="4">
        <v>212</v>
      </c>
      <c r="L987" s="4">
        <v>30</v>
      </c>
      <c r="M987" s="4">
        <v>0</v>
      </c>
      <c r="N987" s="4" t="s">
        <v>3</v>
      </c>
      <c r="O987" s="4">
        <v>2</v>
      </c>
      <c r="P987" s="4"/>
      <c r="Q987" s="4"/>
      <c r="R987" s="4"/>
      <c r="S987" s="4"/>
      <c r="T987" s="4"/>
      <c r="U987" s="4"/>
      <c r="V987" s="4"/>
      <c r="W987" s="4"/>
    </row>
    <row r="989" spans="1:23" x14ac:dyDescent="0.2">
      <c r="A989" s="5">
        <v>61</v>
      </c>
      <c r="B989" s="5"/>
      <c r="C989" s="5"/>
      <c r="D989" s="5"/>
      <c r="E989" s="5"/>
      <c r="F989" s="5">
        <v>3</v>
      </c>
      <c r="G989" s="5" t="s">
        <v>381</v>
      </c>
      <c r="H989" s="5" t="s">
        <v>382</v>
      </c>
    </row>
    <row r="990" spans="1:23" x14ac:dyDescent="0.2">
      <c r="A990" s="5">
        <v>61</v>
      </c>
      <c r="B990" s="5"/>
      <c r="C990" s="5"/>
      <c r="D990" s="5"/>
      <c r="E990" s="5"/>
      <c r="F990" s="5">
        <v>2</v>
      </c>
      <c r="G990" s="5" t="s">
        <v>383</v>
      </c>
      <c r="H990" s="5" t="s">
        <v>382</v>
      </c>
    </row>
    <row r="991" spans="1:23" x14ac:dyDescent="0.2">
      <c r="A991" s="5">
        <v>61</v>
      </c>
      <c r="B991" s="5"/>
      <c r="C991" s="5"/>
      <c r="D991" s="5"/>
      <c r="E991" s="5"/>
      <c r="F991" s="5">
        <v>1</v>
      </c>
      <c r="G991" s="5" t="s">
        <v>384</v>
      </c>
      <c r="H991" s="5" t="s">
        <v>382</v>
      </c>
    </row>
    <row r="994" spans="1:15" x14ac:dyDescent="0.2">
      <c r="A994">
        <v>-1</v>
      </c>
    </row>
    <row r="996" spans="1:15" x14ac:dyDescent="0.2">
      <c r="A996" s="3">
        <v>75</v>
      </c>
      <c r="B996" s="3" t="s">
        <v>385</v>
      </c>
      <c r="C996" s="3">
        <v>2020</v>
      </c>
      <c r="D996" s="3">
        <v>0</v>
      </c>
      <c r="E996" s="3">
        <v>10</v>
      </c>
      <c r="F996" s="3">
        <v>0</v>
      </c>
      <c r="G996" s="3">
        <v>0</v>
      </c>
      <c r="H996" s="3">
        <v>1</v>
      </c>
      <c r="I996" s="3">
        <v>0</v>
      </c>
      <c r="J996" s="3">
        <v>1</v>
      </c>
      <c r="K996" s="3">
        <v>78</v>
      </c>
      <c r="L996" s="3">
        <v>30</v>
      </c>
      <c r="M996" s="3">
        <v>0</v>
      </c>
      <c r="N996" s="3">
        <v>38799519</v>
      </c>
      <c r="O996" s="3">
        <v>1</v>
      </c>
    </row>
    <row r="1000" spans="1:15" x14ac:dyDescent="0.2">
      <c r="A1000">
        <v>65</v>
      </c>
      <c r="C1000">
        <v>1</v>
      </c>
      <c r="D1000">
        <v>0</v>
      </c>
      <c r="E1000">
        <v>245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54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386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0</v>
      </c>
      <c r="L1">
        <v>31807</v>
      </c>
      <c r="M1">
        <v>10</v>
      </c>
      <c r="N1">
        <v>11</v>
      </c>
      <c r="O1">
        <v>2</v>
      </c>
      <c r="P1">
        <v>0</v>
      </c>
      <c r="Q1">
        <v>0</v>
      </c>
    </row>
    <row r="12" spans="1:133" x14ac:dyDescent="0.2">
      <c r="A12" s="1">
        <v>1</v>
      </c>
      <c r="B12" s="1">
        <v>54</v>
      </c>
      <c r="C12" s="1">
        <v>0</v>
      </c>
      <c r="D12" s="1"/>
      <c r="E12" s="1">
        <v>0</v>
      </c>
      <c r="F12" s="1" t="s">
        <v>4</v>
      </c>
      <c r="G12" s="1" t="s">
        <v>4</v>
      </c>
      <c r="H12" s="1" t="s">
        <v>3</v>
      </c>
      <c r="I12" s="1">
        <v>0</v>
      </c>
      <c r="J12" s="1" t="s">
        <v>3</v>
      </c>
      <c r="K12" s="1">
        <v>0</v>
      </c>
      <c r="L12" s="1"/>
      <c r="M12" s="1"/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/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/>
      <c r="AL12" s="1" t="s">
        <v>3</v>
      </c>
      <c r="AM12" s="1" t="s">
        <v>3</v>
      </c>
      <c r="AN12" s="1" t="s">
        <v>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/>
      <c r="BC12" s="1"/>
      <c r="BD12" s="1"/>
      <c r="BE12" s="1"/>
      <c r="BF12" s="1"/>
      <c r="BG12" s="1"/>
      <c r="BH12" s="1" t="s">
        <v>5</v>
      </c>
      <c r="BI12" s="1" t="s">
        <v>6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 t="s">
        <v>7</v>
      </c>
      <c r="BZ12" s="1" t="s">
        <v>8</v>
      </c>
      <c r="CA12" s="1" t="s">
        <v>9</v>
      </c>
      <c r="CB12" s="1" t="s">
        <v>9</v>
      </c>
      <c r="CC12" s="1" t="s">
        <v>9</v>
      </c>
      <c r="CD12" s="1" t="s">
        <v>9</v>
      </c>
      <c r="CE12" s="1" t="s">
        <v>10</v>
      </c>
      <c r="CF12" s="1">
        <v>0</v>
      </c>
      <c r="CG12" s="1">
        <v>0</v>
      </c>
      <c r="CH12" s="1">
        <v>8</v>
      </c>
      <c r="CI12" s="1" t="s">
        <v>3</v>
      </c>
      <c r="CJ12" s="1" t="s">
        <v>3</v>
      </c>
      <c r="CK12" s="1">
        <v>0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4" spans="1:133" x14ac:dyDescent="0.2">
      <c r="A14" s="1">
        <v>22</v>
      </c>
      <c r="B14" s="1">
        <v>0</v>
      </c>
      <c r="C14" s="1">
        <v>0</v>
      </c>
      <c r="D14" s="1">
        <v>38799519</v>
      </c>
      <c r="E14" s="1">
        <v>0</v>
      </c>
      <c r="F14" s="1">
        <v>3</v>
      </c>
      <c r="G14" s="1"/>
      <c r="H14" s="1"/>
      <c r="I14" s="1"/>
      <c r="J14" s="1"/>
      <c r="K14" s="1"/>
      <c r="L14" s="1"/>
      <c r="M14" s="1"/>
      <c r="N14" s="1"/>
      <c r="O14" s="1"/>
    </row>
    <row r="16" spans="1:133" x14ac:dyDescent="0.2">
      <c r="A16" s="6">
        <v>3</v>
      </c>
      <c r="B16" s="6">
        <v>1</v>
      </c>
      <c r="C16" s="6" t="s">
        <v>11</v>
      </c>
      <c r="D16" s="6" t="s">
        <v>11</v>
      </c>
      <c r="E16" s="7">
        <f>(Source!F943)/1000</f>
        <v>0</v>
      </c>
      <c r="F16" s="7">
        <f>(Source!F944)/1000</f>
        <v>0</v>
      </c>
      <c r="G16" s="7">
        <f>(Source!F935)/1000</f>
        <v>0</v>
      </c>
      <c r="H16" s="7">
        <f>(Source!F945)/1000+(Source!F946)/1000</f>
        <v>6627.3730999999998</v>
      </c>
      <c r="I16" s="7">
        <f>E16+F16+G16+H16</f>
        <v>6627.3730999999998</v>
      </c>
      <c r="J16" s="7">
        <f>(Source!F941)/1000</f>
        <v>1231.3765900000001</v>
      </c>
      <c r="AI16" s="6">
        <v>0</v>
      </c>
      <c r="AJ16" s="6">
        <v>0</v>
      </c>
      <c r="AK16" s="6" t="s">
        <v>3</v>
      </c>
      <c r="AL16" s="6" t="s">
        <v>3</v>
      </c>
      <c r="AM16" s="6" t="s">
        <v>3</v>
      </c>
      <c r="AN16" s="6">
        <v>0</v>
      </c>
      <c r="AO16" s="6" t="s">
        <v>3</v>
      </c>
      <c r="AP16" s="6" t="s">
        <v>3</v>
      </c>
      <c r="AT16" s="7">
        <v>5281728.7</v>
      </c>
      <c r="AU16" s="7">
        <v>3342900.05</v>
      </c>
      <c r="AV16" s="7">
        <v>0</v>
      </c>
      <c r="AW16" s="7">
        <v>0</v>
      </c>
      <c r="AX16" s="7">
        <v>0</v>
      </c>
      <c r="AY16" s="7">
        <v>707452.06</v>
      </c>
      <c r="AZ16" s="7">
        <v>411693.91</v>
      </c>
      <c r="BA16" s="7">
        <v>1231376.5900000001</v>
      </c>
      <c r="BB16" s="7">
        <v>0</v>
      </c>
      <c r="BC16" s="7">
        <v>0</v>
      </c>
      <c r="BD16" s="7">
        <v>6627373.0999999996</v>
      </c>
      <c r="BE16" s="7">
        <v>0</v>
      </c>
      <c r="BF16" s="7">
        <v>5252.6637285999996</v>
      </c>
      <c r="BG16" s="7">
        <v>0</v>
      </c>
      <c r="BH16" s="7">
        <v>0</v>
      </c>
      <c r="BI16" s="7">
        <v>861963.6</v>
      </c>
      <c r="BJ16" s="7">
        <v>123137.73</v>
      </c>
      <c r="BK16" s="7">
        <v>6627373.0999999996</v>
      </c>
    </row>
    <row r="18" spans="1:19" x14ac:dyDescent="0.2">
      <c r="A18">
        <v>51</v>
      </c>
      <c r="E18" s="5">
        <f>SUMIF(A16:A17,3,E16:E17)</f>
        <v>0</v>
      </c>
      <c r="F18" s="5">
        <f>SUMIF(A16:A17,3,F16:F17)</f>
        <v>0</v>
      </c>
      <c r="G18" s="5">
        <f>SUMIF(A16:A17,3,G16:G17)</f>
        <v>0</v>
      </c>
      <c r="H18" s="5">
        <f>SUMIF(A16:A17,3,H16:H17)</f>
        <v>6627.3730999999998</v>
      </c>
      <c r="I18" s="5">
        <f>SUMIF(A16:A17,3,I16:I17)</f>
        <v>6627.3730999999998</v>
      </c>
      <c r="J18" s="5">
        <f>SUMIF(A16:A17,3,J16:J17)</f>
        <v>1231.3765900000001</v>
      </c>
      <c r="K18" s="5"/>
      <c r="L18" s="5"/>
      <c r="M18" s="5"/>
      <c r="N18" s="5"/>
      <c r="O18" s="5"/>
      <c r="P18" s="5"/>
      <c r="Q18" s="5"/>
      <c r="R18" s="5"/>
      <c r="S18" s="5"/>
    </row>
    <row r="20" spans="1:19" x14ac:dyDescent="0.2">
      <c r="A20" s="4">
        <v>50</v>
      </c>
      <c r="B20" s="4">
        <v>0</v>
      </c>
      <c r="C20" s="4">
        <v>0</v>
      </c>
      <c r="D20" s="4">
        <v>1</v>
      </c>
      <c r="E20" s="4">
        <v>201</v>
      </c>
      <c r="F20" s="4">
        <v>5281728.7</v>
      </c>
      <c r="G20" s="4" t="s">
        <v>50</v>
      </c>
      <c r="H20" s="4" t="s">
        <v>51</v>
      </c>
      <c r="I20" s="4"/>
      <c r="J20" s="4"/>
      <c r="K20" s="4">
        <v>201</v>
      </c>
      <c r="L20" s="4">
        <v>1</v>
      </c>
      <c r="M20" s="4">
        <v>3</v>
      </c>
      <c r="N20" s="4" t="s">
        <v>3</v>
      </c>
      <c r="O20" s="4">
        <v>2</v>
      </c>
      <c r="P20" s="4"/>
    </row>
    <row r="21" spans="1:19" x14ac:dyDescent="0.2">
      <c r="A21" s="4">
        <v>50</v>
      </c>
      <c r="B21" s="4">
        <v>0</v>
      </c>
      <c r="C21" s="4">
        <v>0</v>
      </c>
      <c r="D21" s="4">
        <v>1</v>
      </c>
      <c r="E21" s="4">
        <v>202</v>
      </c>
      <c r="F21" s="4">
        <v>3342900.05</v>
      </c>
      <c r="G21" s="4" t="s">
        <v>52</v>
      </c>
      <c r="H21" s="4" t="s">
        <v>53</v>
      </c>
      <c r="I21" s="4"/>
      <c r="J21" s="4"/>
      <c r="K21" s="4">
        <v>202</v>
      </c>
      <c r="L21" s="4">
        <v>2</v>
      </c>
      <c r="M21" s="4">
        <v>3</v>
      </c>
      <c r="N21" s="4" t="s">
        <v>3</v>
      </c>
      <c r="O21" s="4">
        <v>2</v>
      </c>
      <c r="P21" s="4"/>
    </row>
    <row r="22" spans="1:19" x14ac:dyDescent="0.2">
      <c r="A22" s="4">
        <v>50</v>
      </c>
      <c r="B22" s="4">
        <v>0</v>
      </c>
      <c r="C22" s="4">
        <v>0</v>
      </c>
      <c r="D22" s="4">
        <v>1</v>
      </c>
      <c r="E22" s="4">
        <v>222</v>
      </c>
      <c r="F22" s="4">
        <v>0</v>
      </c>
      <c r="G22" s="4" t="s">
        <v>54</v>
      </c>
      <c r="H22" s="4" t="s">
        <v>55</v>
      </c>
      <c r="I22" s="4"/>
      <c r="J22" s="4"/>
      <c r="K22" s="4">
        <v>222</v>
      </c>
      <c r="L22" s="4">
        <v>3</v>
      </c>
      <c r="M22" s="4">
        <v>3</v>
      </c>
      <c r="N22" s="4" t="s">
        <v>3</v>
      </c>
      <c r="O22" s="4">
        <v>2</v>
      </c>
      <c r="P22" s="4"/>
    </row>
    <row r="23" spans="1:19" x14ac:dyDescent="0.2">
      <c r="A23" s="4">
        <v>50</v>
      </c>
      <c r="B23" s="4">
        <v>0</v>
      </c>
      <c r="C23" s="4">
        <v>0</v>
      </c>
      <c r="D23" s="4">
        <v>1</v>
      </c>
      <c r="E23" s="4">
        <v>225</v>
      </c>
      <c r="F23" s="4">
        <v>3342900.05</v>
      </c>
      <c r="G23" s="4" t="s">
        <v>56</v>
      </c>
      <c r="H23" s="4" t="s">
        <v>57</v>
      </c>
      <c r="I23" s="4"/>
      <c r="J23" s="4"/>
      <c r="K23" s="4">
        <v>225</v>
      </c>
      <c r="L23" s="4">
        <v>4</v>
      </c>
      <c r="M23" s="4">
        <v>3</v>
      </c>
      <c r="N23" s="4" t="s">
        <v>3</v>
      </c>
      <c r="O23" s="4">
        <v>2</v>
      </c>
      <c r="P23" s="4"/>
    </row>
    <row r="24" spans="1:19" x14ac:dyDescent="0.2">
      <c r="A24" s="4">
        <v>50</v>
      </c>
      <c r="B24" s="4">
        <v>0</v>
      </c>
      <c r="C24" s="4">
        <v>0</v>
      </c>
      <c r="D24" s="4">
        <v>1</v>
      </c>
      <c r="E24" s="4">
        <v>226</v>
      </c>
      <c r="F24" s="4">
        <v>3342900.05</v>
      </c>
      <c r="G24" s="4" t="s">
        <v>58</v>
      </c>
      <c r="H24" s="4" t="s">
        <v>59</v>
      </c>
      <c r="I24" s="4"/>
      <c r="J24" s="4"/>
      <c r="K24" s="4">
        <v>226</v>
      </c>
      <c r="L24" s="4">
        <v>5</v>
      </c>
      <c r="M24" s="4">
        <v>3</v>
      </c>
      <c r="N24" s="4" t="s">
        <v>3</v>
      </c>
      <c r="O24" s="4">
        <v>2</v>
      </c>
      <c r="P24" s="4"/>
    </row>
    <row r="25" spans="1:19" x14ac:dyDescent="0.2">
      <c r="A25" s="4">
        <v>50</v>
      </c>
      <c r="B25" s="4">
        <v>0</v>
      </c>
      <c r="C25" s="4">
        <v>0</v>
      </c>
      <c r="D25" s="4">
        <v>1</v>
      </c>
      <c r="E25" s="4">
        <v>227</v>
      </c>
      <c r="F25" s="4">
        <v>0</v>
      </c>
      <c r="G25" s="4" t="s">
        <v>60</v>
      </c>
      <c r="H25" s="4" t="s">
        <v>61</v>
      </c>
      <c r="I25" s="4"/>
      <c r="J25" s="4"/>
      <c r="K25" s="4">
        <v>227</v>
      </c>
      <c r="L25" s="4">
        <v>6</v>
      </c>
      <c r="M25" s="4">
        <v>3</v>
      </c>
      <c r="N25" s="4" t="s">
        <v>3</v>
      </c>
      <c r="O25" s="4">
        <v>2</v>
      </c>
      <c r="P25" s="4"/>
    </row>
    <row r="26" spans="1:19" x14ac:dyDescent="0.2">
      <c r="A26" s="4">
        <v>50</v>
      </c>
      <c r="B26" s="4">
        <v>0</v>
      </c>
      <c r="C26" s="4">
        <v>0</v>
      </c>
      <c r="D26" s="4">
        <v>1</v>
      </c>
      <c r="E26" s="4">
        <v>228</v>
      </c>
      <c r="F26" s="4">
        <v>3342900.05</v>
      </c>
      <c r="G26" s="4" t="s">
        <v>62</v>
      </c>
      <c r="H26" s="4" t="s">
        <v>63</v>
      </c>
      <c r="I26" s="4"/>
      <c r="J26" s="4"/>
      <c r="K26" s="4">
        <v>228</v>
      </c>
      <c r="L26" s="4">
        <v>7</v>
      </c>
      <c r="M26" s="4">
        <v>3</v>
      </c>
      <c r="N26" s="4" t="s">
        <v>3</v>
      </c>
      <c r="O26" s="4">
        <v>2</v>
      </c>
      <c r="P26" s="4"/>
    </row>
    <row r="27" spans="1:19" x14ac:dyDescent="0.2">
      <c r="A27" s="4">
        <v>50</v>
      </c>
      <c r="B27" s="4">
        <v>0</v>
      </c>
      <c r="C27" s="4">
        <v>0</v>
      </c>
      <c r="D27" s="4">
        <v>1</v>
      </c>
      <c r="E27" s="4">
        <v>216</v>
      </c>
      <c r="F27" s="4">
        <v>0</v>
      </c>
      <c r="G27" s="4" t="s">
        <v>64</v>
      </c>
      <c r="H27" s="4" t="s">
        <v>65</v>
      </c>
      <c r="I27" s="4"/>
      <c r="J27" s="4"/>
      <c r="K27" s="4">
        <v>216</v>
      </c>
      <c r="L27" s="4">
        <v>8</v>
      </c>
      <c r="M27" s="4">
        <v>3</v>
      </c>
      <c r="N27" s="4" t="s">
        <v>3</v>
      </c>
      <c r="O27" s="4">
        <v>2</v>
      </c>
      <c r="P27" s="4"/>
    </row>
    <row r="28" spans="1:19" x14ac:dyDescent="0.2">
      <c r="A28" s="4">
        <v>50</v>
      </c>
      <c r="B28" s="4">
        <v>0</v>
      </c>
      <c r="C28" s="4">
        <v>0</v>
      </c>
      <c r="D28" s="4">
        <v>1</v>
      </c>
      <c r="E28" s="4">
        <v>223</v>
      </c>
      <c r="F28" s="4">
        <v>0</v>
      </c>
      <c r="G28" s="4" t="s">
        <v>66</v>
      </c>
      <c r="H28" s="4" t="s">
        <v>67</v>
      </c>
      <c r="I28" s="4"/>
      <c r="J28" s="4"/>
      <c r="K28" s="4">
        <v>223</v>
      </c>
      <c r="L28" s="4">
        <v>9</v>
      </c>
      <c r="M28" s="4">
        <v>3</v>
      </c>
      <c r="N28" s="4" t="s">
        <v>3</v>
      </c>
      <c r="O28" s="4">
        <v>2</v>
      </c>
      <c r="P28" s="4"/>
    </row>
    <row r="29" spans="1:19" x14ac:dyDescent="0.2">
      <c r="A29" s="4">
        <v>50</v>
      </c>
      <c r="B29" s="4">
        <v>0</v>
      </c>
      <c r="C29" s="4">
        <v>0</v>
      </c>
      <c r="D29" s="4">
        <v>1</v>
      </c>
      <c r="E29" s="4">
        <v>229</v>
      </c>
      <c r="F29" s="4">
        <v>0</v>
      </c>
      <c r="G29" s="4" t="s">
        <v>68</v>
      </c>
      <c r="H29" s="4" t="s">
        <v>69</v>
      </c>
      <c r="I29" s="4"/>
      <c r="J29" s="4"/>
      <c r="K29" s="4">
        <v>229</v>
      </c>
      <c r="L29" s="4">
        <v>10</v>
      </c>
      <c r="M29" s="4">
        <v>3</v>
      </c>
      <c r="N29" s="4" t="s">
        <v>3</v>
      </c>
      <c r="O29" s="4">
        <v>2</v>
      </c>
      <c r="P29" s="4"/>
    </row>
    <row r="30" spans="1:19" x14ac:dyDescent="0.2">
      <c r="A30" s="4">
        <v>50</v>
      </c>
      <c r="B30" s="4">
        <v>0</v>
      </c>
      <c r="C30" s="4">
        <v>0</v>
      </c>
      <c r="D30" s="4">
        <v>1</v>
      </c>
      <c r="E30" s="4">
        <v>203</v>
      </c>
      <c r="F30" s="4">
        <v>707452.06</v>
      </c>
      <c r="G30" s="4" t="s">
        <v>70</v>
      </c>
      <c r="H30" s="4" t="s">
        <v>71</v>
      </c>
      <c r="I30" s="4"/>
      <c r="J30" s="4"/>
      <c r="K30" s="4">
        <v>203</v>
      </c>
      <c r="L30" s="4">
        <v>11</v>
      </c>
      <c r="M30" s="4">
        <v>3</v>
      </c>
      <c r="N30" s="4" t="s">
        <v>3</v>
      </c>
      <c r="O30" s="4">
        <v>2</v>
      </c>
      <c r="P30" s="4"/>
    </row>
    <row r="31" spans="1:19" x14ac:dyDescent="0.2">
      <c r="A31" s="4">
        <v>50</v>
      </c>
      <c r="B31" s="4">
        <v>0</v>
      </c>
      <c r="C31" s="4">
        <v>0</v>
      </c>
      <c r="D31" s="4">
        <v>1</v>
      </c>
      <c r="E31" s="4">
        <v>231</v>
      </c>
      <c r="F31" s="4">
        <v>0</v>
      </c>
      <c r="G31" s="4" t="s">
        <v>72</v>
      </c>
      <c r="H31" s="4" t="s">
        <v>73</v>
      </c>
      <c r="I31" s="4"/>
      <c r="J31" s="4"/>
      <c r="K31" s="4">
        <v>231</v>
      </c>
      <c r="L31" s="4">
        <v>12</v>
      </c>
      <c r="M31" s="4">
        <v>3</v>
      </c>
      <c r="N31" s="4" t="s">
        <v>3</v>
      </c>
      <c r="O31" s="4">
        <v>2</v>
      </c>
      <c r="P31" s="4"/>
    </row>
    <row r="32" spans="1:19" x14ac:dyDescent="0.2">
      <c r="A32" s="4">
        <v>50</v>
      </c>
      <c r="B32" s="4">
        <v>0</v>
      </c>
      <c r="C32" s="4">
        <v>0</v>
      </c>
      <c r="D32" s="4">
        <v>1</v>
      </c>
      <c r="E32" s="4">
        <v>204</v>
      </c>
      <c r="F32" s="4">
        <v>411693.91</v>
      </c>
      <c r="G32" s="4" t="s">
        <v>74</v>
      </c>
      <c r="H32" s="4" t="s">
        <v>75</v>
      </c>
      <c r="I32" s="4"/>
      <c r="J32" s="4"/>
      <c r="K32" s="4">
        <v>204</v>
      </c>
      <c r="L32" s="4">
        <v>13</v>
      </c>
      <c r="M32" s="4">
        <v>3</v>
      </c>
      <c r="N32" s="4" t="s">
        <v>3</v>
      </c>
      <c r="O32" s="4">
        <v>2</v>
      </c>
      <c r="P32" s="4"/>
    </row>
    <row r="33" spans="1:16" x14ac:dyDescent="0.2">
      <c r="A33" s="4">
        <v>50</v>
      </c>
      <c r="B33" s="4">
        <v>0</v>
      </c>
      <c r="C33" s="4">
        <v>0</v>
      </c>
      <c r="D33" s="4">
        <v>1</v>
      </c>
      <c r="E33" s="4">
        <v>205</v>
      </c>
      <c r="F33" s="4">
        <v>1231376.5900000001</v>
      </c>
      <c r="G33" s="4" t="s">
        <v>76</v>
      </c>
      <c r="H33" s="4" t="s">
        <v>77</v>
      </c>
      <c r="I33" s="4"/>
      <c r="J33" s="4"/>
      <c r="K33" s="4">
        <v>205</v>
      </c>
      <c r="L33" s="4">
        <v>14</v>
      </c>
      <c r="M33" s="4">
        <v>3</v>
      </c>
      <c r="N33" s="4" t="s">
        <v>3</v>
      </c>
      <c r="O33" s="4">
        <v>2</v>
      </c>
      <c r="P33" s="4"/>
    </row>
    <row r="34" spans="1:16" x14ac:dyDescent="0.2">
      <c r="A34" s="4">
        <v>50</v>
      </c>
      <c r="B34" s="4">
        <v>0</v>
      </c>
      <c r="C34" s="4">
        <v>0</v>
      </c>
      <c r="D34" s="4">
        <v>1</v>
      </c>
      <c r="E34" s="4">
        <v>232</v>
      </c>
      <c r="F34" s="4">
        <v>0</v>
      </c>
      <c r="G34" s="4" t="s">
        <v>78</v>
      </c>
      <c r="H34" s="4" t="s">
        <v>79</v>
      </c>
      <c r="I34" s="4"/>
      <c r="J34" s="4"/>
      <c r="K34" s="4">
        <v>232</v>
      </c>
      <c r="L34" s="4">
        <v>15</v>
      </c>
      <c r="M34" s="4">
        <v>3</v>
      </c>
      <c r="N34" s="4" t="s">
        <v>3</v>
      </c>
      <c r="O34" s="4">
        <v>2</v>
      </c>
      <c r="P34" s="4"/>
    </row>
    <row r="35" spans="1:16" x14ac:dyDescent="0.2">
      <c r="A35" s="4">
        <v>50</v>
      </c>
      <c r="B35" s="4">
        <v>0</v>
      </c>
      <c r="C35" s="4">
        <v>0</v>
      </c>
      <c r="D35" s="4">
        <v>1</v>
      </c>
      <c r="E35" s="4">
        <v>214</v>
      </c>
      <c r="F35" s="4">
        <v>0</v>
      </c>
      <c r="G35" s="4" t="s">
        <v>80</v>
      </c>
      <c r="H35" s="4" t="s">
        <v>81</v>
      </c>
      <c r="I35" s="4"/>
      <c r="J35" s="4"/>
      <c r="K35" s="4">
        <v>214</v>
      </c>
      <c r="L35" s="4">
        <v>16</v>
      </c>
      <c r="M35" s="4">
        <v>3</v>
      </c>
      <c r="N35" s="4" t="s">
        <v>3</v>
      </c>
      <c r="O35" s="4">
        <v>2</v>
      </c>
      <c r="P35" s="4"/>
    </row>
    <row r="36" spans="1:16" x14ac:dyDescent="0.2">
      <c r="A36" s="4">
        <v>50</v>
      </c>
      <c r="B36" s="4">
        <v>0</v>
      </c>
      <c r="C36" s="4">
        <v>0</v>
      </c>
      <c r="D36" s="4">
        <v>1</v>
      </c>
      <c r="E36" s="4">
        <v>215</v>
      </c>
      <c r="F36" s="4">
        <v>0</v>
      </c>
      <c r="G36" s="4" t="s">
        <v>82</v>
      </c>
      <c r="H36" s="4" t="s">
        <v>83</v>
      </c>
      <c r="I36" s="4"/>
      <c r="J36" s="4"/>
      <c r="K36" s="4">
        <v>215</v>
      </c>
      <c r="L36" s="4">
        <v>17</v>
      </c>
      <c r="M36" s="4">
        <v>3</v>
      </c>
      <c r="N36" s="4" t="s">
        <v>3</v>
      </c>
      <c r="O36" s="4">
        <v>2</v>
      </c>
      <c r="P36" s="4"/>
    </row>
    <row r="37" spans="1:16" x14ac:dyDescent="0.2">
      <c r="A37" s="4">
        <v>50</v>
      </c>
      <c r="B37" s="4">
        <v>0</v>
      </c>
      <c r="C37" s="4">
        <v>0</v>
      </c>
      <c r="D37" s="4">
        <v>1</v>
      </c>
      <c r="E37" s="4">
        <v>217</v>
      </c>
      <c r="F37" s="4">
        <v>6627373.0999999996</v>
      </c>
      <c r="G37" s="4" t="s">
        <v>84</v>
      </c>
      <c r="H37" s="4" t="s">
        <v>85</v>
      </c>
      <c r="I37" s="4"/>
      <c r="J37" s="4"/>
      <c r="K37" s="4">
        <v>217</v>
      </c>
      <c r="L37" s="4">
        <v>18</v>
      </c>
      <c r="M37" s="4">
        <v>3</v>
      </c>
      <c r="N37" s="4" t="s">
        <v>3</v>
      </c>
      <c r="O37" s="4">
        <v>2</v>
      </c>
      <c r="P37" s="4"/>
    </row>
    <row r="38" spans="1:16" x14ac:dyDescent="0.2">
      <c r="A38" s="4">
        <v>50</v>
      </c>
      <c r="B38" s="4">
        <v>0</v>
      </c>
      <c r="C38" s="4">
        <v>0</v>
      </c>
      <c r="D38" s="4">
        <v>1</v>
      </c>
      <c r="E38" s="4">
        <v>230</v>
      </c>
      <c r="F38" s="4">
        <v>0</v>
      </c>
      <c r="G38" s="4" t="s">
        <v>86</v>
      </c>
      <c r="H38" s="4" t="s">
        <v>87</v>
      </c>
      <c r="I38" s="4"/>
      <c r="J38" s="4"/>
      <c r="K38" s="4">
        <v>230</v>
      </c>
      <c r="L38" s="4">
        <v>19</v>
      </c>
      <c r="M38" s="4">
        <v>3</v>
      </c>
      <c r="N38" s="4" t="s">
        <v>3</v>
      </c>
      <c r="O38" s="4">
        <v>2</v>
      </c>
      <c r="P38" s="4"/>
    </row>
    <row r="39" spans="1:16" x14ac:dyDescent="0.2">
      <c r="A39" s="4">
        <v>50</v>
      </c>
      <c r="B39" s="4">
        <v>0</v>
      </c>
      <c r="C39" s="4">
        <v>0</v>
      </c>
      <c r="D39" s="4">
        <v>1</v>
      </c>
      <c r="E39" s="4">
        <v>206</v>
      </c>
      <c r="F39" s="4">
        <v>0</v>
      </c>
      <c r="G39" s="4" t="s">
        <v>88</v>
      </c>
      <c r="H39" s="4" t="s">
        <v>89</v>
      </c>
      <c r="I39" s="4"/>
      <c r="J39" s="4"/>
      <c r="K39" s="4">
        <v>206</v>
      </c>
      <c r="L39" s="4">
        <v>20</v>
      </c>
      <c r="M39" s="4">
        <v>3</v>
      </c>
      <c r="N39" s="4" t="s">
        <v>3</v>
      </c>
      <c r="O39" s="4">
        <v>2</v>
      </c>
      <c r="P39" s="4"/>
    </row>
    <row r="40" spans="1:16" x14ac:dyDescent="0.2">
      <c r="A40" s="4">
        <v>50</v>
      </c>
      <c r="B40" s="4">
        <v>0</v>
      </c>
      <c r="C40" s="4">
        <v>0</v>
      </c>
      <c r="D40" s="4">
        <v>1</v>
      </c>
      <c r="E40" s="4">
        <v>207</v>
      </c>
      <c r="F40" s="4">
        <v>5252.6637285999996</v>
      </c>
      <c r="G40" s="4" t="s">
        <v>90</v>
      </c>
      <c r="H40" s="4" t="s">
        <v>91</v>
      </c>
      <c r="I40" s="4"/>
      <c r="J40" s="4"/>
      <c r="K40" s="4">
        <v>207</v>
      </c>
      <c r="L40" s="4">
        <v>21</v>
      </c>
      <c r="M40" s="4">
        <v>3</v>
      </c>
      <c r="N40" s="4" t="s">
        <v>3</v>
      </c>
      <c r="O40" s="4">
        <v>-1</v>
      </c>
      <c r="P40" s="4"/>
    </row>
    <row r="41" spans="1:16" x14ac:dyDescent="0.2">
      <c r="A41" s="4">
        <v>50</v>
      </c>
      <c r="B41" s="4">
        <v>0</v>
      </c>
      <c r="C41" s="4">
        <v>0</v>
      </c>
      <c r="D41" s="4">
        <v>1</v>
      </c>
      <c r="E41" s="4">
        <v>208</v>
      </c>
      <c r="F41" s="4">
        <v>0</v>
      </c>
      <c r="G41" s="4" t="s">
        <v>92</v>
      </c>
      <c r="H41" s="4" t="s">
        <v>93</v>
      </c>
      <c r="I41" s="4"/>
      <c r="J41" s="4"/>
      <c r="K41" s="4">
        <v>208</v>
      </c>
      <c r="L41" s="4">
        <v>22</v>
      </c>
      <c r="M41" s="4">
        <v>3</v>
      </c>
      <c r="N41" s="4" t="s">
        <v>3</v>
      </c>
      <c r="O41" s="4">
        <v>-1</v>
      </c>
      <c r="P41" s="4"/>
    </row>
    <row r="42" spans="1:16" x14ac:dyDescent="0.2">
      <c r="A42" s="4">
        <v>50</v>
      </c>
      <c r="B42" s="4">
        <v>0</v>
      </c>
      <c r="C42" s="4">
        <v>0</v>
      </c>
      <c r="D42" s="4">
        <v>1</v>
      </c>
      <c r="E42" s="4">
        <v>209</v>
      </c>
      <c r="F42" s="4">
        <v>0</v>
      </c>
      <c r="G42" s="4" t="s">
        <v>94</v>
      </c>
      <c r="H42" s="4" t="s">
        <v>95</v>
      </c>
      <c r="I42" s="4"/>
      <c r="J42" s="4"/>
      <c r="K42" s="4">
        <v>209</v>
      </c>
      <c r="L42" s="4">
        <v>23</v>
      </c>
      <c r="M42" s="4">
        <v>3</v>
      </c>
      <c r="N42" s="4" t="s">
        <v>3</v>
      </c>
      <c r="O42" s="4">
        <v>2</v>
      </c>
      <c r="P42" s="4"/>
    </row>
    <row r="43" spans="1:16" x14ac:dyDescent="0.2">
      <c r="A43" s="4">
        <v>50</v>
      </c>
      <c r="B43" s="4">
        <v>0</v>
      </c>
      <c r="C43" s="4">
        <v>0</v>
      </c>
      <c r="D43" s="4">
        <v>1</v>
      </c>
      <c r="E43" s="4">
        <v>233</v>
      </c>
      <c r="F43" s="4">
        <v>0</v>
      </c>
      <c r="G43" s="4" t="s">
        <v>96</v>
      </c>
      <c r="H43" s="4" t="s">
        <v>97</v>
      </c>
      <c r="I43" s="4"/>
      <c r="J43" s="4"/>
      <c r="K43" s="4">
        <v>233</v>
      </c>
      <c r="L43" s="4">
        <v>24</v>
      </c>
      <c r="M43" s="4">
        <v>3</v>
      </c>
      <c r="N43" s="4" t="s">
        <v>3</v>
      </c>
      <c r="O43" s="4">
        <v>2</v>
      </c>
      <c r="P43" s="4"/>
    </row>
    <row r="44" spans="1:16" x14ac:dyDescent="0.2">
      <c r="A44" s="4">
        <v>50</v>
      </c>
      <c r="B44" s="4">
        <v>0</v>
      </c>
      <c r="C44" s="4">
        <v>0</v>
      </c>
      <c r="D44" s="4">
        <v>1</v>
      </c>
      <c r="E44" s="4">
        <v>210</v>
      </c>
      <c r="F44" s="4">
        <v>861963.6</v>
      </c>
      <c r="G44" s="4" t="s">
        <v>98</v>
      </c>
      <c r="H44" s="4" t="s">
        <v>99</v>
      </c>
      <c r="I44" s="4"/>
      <c r="J44" s="4"/>
      <c r="K44" s="4">
        <v>210</v>
      </c>
      <c r="L44" s="4">
        <v>25</v>
      </c>
      <c r="M44" s="4">
        <v>3</v>
      </c>
      <c r="N44" s="4" t="s">
        <v>3</v>
      </c>
      <c r="O44" s="4">
        <v>2</v>
      </c>
      <c r="P44" s="4"/>
    </row>
    <row r="45" spans="1:16" x14ac:dyDescent="0.2">
      <c r="A45" s="4">
        <v>50</v>
      </c>
      <c r="B45" s="4">
        <v>0</v>
      </c>
      <c r="C45" s="4">
        <v>0</v>
      </c>
      <c r="D45" s="4">
        <v>1</v>
      </c>
      <c r="E45" s="4">
        <v>211</v>
      </c>
      <c r="F45" s="4">
        <v>123137.73</v>
      </c>
      <c r="G45" s="4" t="s">
        <v>100</v>
      </c>
      <c r="H45" s="4" t="s">
        <v>101</v>
      </c>
      <c r="I45" s="4"/>
      <c r="J45" s="4"/>
      <c r="K45" s="4">
        <v>211</v>
      </c>
      <c r="L45" s="4">
        <v>26</v>
      </c>
      <c r="M45" s="4">
        <v>3</v>
      </c>
      <c r="N45" s="4" t="s">
        <v>3</v>
      </c>
      <c r="O45" s="4">
        <v>2</v>
      </c>
      <c r="P45" s="4"/>
    </row>
    <row r="46" spans="1:16" x14ac:dyDescent="0.2">
      <c r="A46" s="4">
        <v>50</v>
      </c>
      <c r="B46" s="4">
        <v>0</v>
      </c>
      <c r="C46" s="4">
        <v>0</v>
      </c>
      <c r="D46" s="4">
        <v>1</v>
      </c>
      <c r="E46" s="4">
        <v>224</v>
      </c>
      <c r="F46" s="4">
        <v>6627373.0999999996</v>
      </c>
      <c r="G46" s="4" t="s">
        <v>102</v>
      </c>
      <c r="H46" s="4" t="s">
        <v>103</v>
      </c>
      <c r="I46" s="4"/>
      <c r="J46" s="4"/>
      <c r="K46" s="4">
        <v>224</v>
      </c>
      <c r="L46" s="4">
        <v>27</v>
      </c>
      <c r="M46" s="4">
        <v>3</v>
      </c>
      <c r="N46" s="4" t="s">
        <v>3</v>
      </c>
      <c r="O46" s="4">
        <v>2</v>
      </c>
      <c r="P46" s="4"/>
    </row>
    <row r="47" spans="1:16" x14ac:dyDescent="0.2">
      <c r="A47" s="4">
        <v>50</v>
      </c>
      <c r="B47" s="4">
        <v>1</v>
      </c>
      <c r="C47" s="4">
        <v>0</v>
      </c>
      <c r="D47" s="4">
        <v>2</v>
      </c>
      <c r="E47" s="4">
        <v>0</v>
      </c>
      <c r="F47" s="4">
        <v>6627373.0999999996</v>
      </c>
      <c r="G47" s="4" t="s">
        <v>376</v>
      </c>
      <c r="H47" s="4" t="s">
        <v>377</v>
      </c>
      <c r="I47" s="4"/>
      <c r="J47" s="4"/>
      <c r="K47" s="4">
        <v>212</v>
      </c>
      <c r="L47" s="4">
        <v>28</v>
      </c>
      <c r="M47" s="4">
        <v>0</v>
      </c>
      <c r="N47" s="4" t="s">
        <v>3</v>
      </c>
      <c r="O47" s="4">
        <v>2</v>
      </c>
      <c r="P47" s="4"/>
    </row>
    <row r="48" spans="1:16" x14ac:dyDescent="0.2">
      <c r="A48" s="4">
        <v>50</v>
      </c>
      <c r="B48" s="4">
        <v>1</v>
      </c>
      <c r="C48" s="4">
        <v>0</v>
      </c>
      <c r="D48" s="4">
        <v>2</v>
      </c>
      <c r="E48" s="4">
        <v>0</v>
      </c>
      <c r="F48" s="4">
        <v>1325474.6200000001</v>
      </c>
      <c r="G48" s="4" t="s">
        <v>378</v>
      </c>
      <c r="H48" s="4" t="s">
        <v>379</v>
      </c>
      <c r="I48" s="4"/>
      <c r="J48" s="4"/>
      <c r="K48" s="4">
        <v>212</v>
      </c>
      <c r="L48" s="4">
        <v>29</v>
      </c>
      <c r="M48" s="4">
        <v>0</v>
      </c>
      <c r="N48" s="4" t="s">
        <v>3</v>
      </c>
      <c r="O48" s="4">
        <v>2</v>
      </c>
      <c r="P48" s="4"/>
    </row>
    <row r="49" spans="1:16" x14ac:dyDescent="0.2">
      <c r="A49" s="4">
        <v>50</v>
      </c>
      <c r="B49" s="4">
        <v>1</v>
      </c>
      <c r="C49" s="4">
        <v>0</v>
      </c>
      <c r="D49" s="4">
        <v>2</v>
      </c>
      <c r="E49" s="4">
        <v>0</v>
      </c>
      <c r="F49" s="4">
        <v>7952847.7199999997</v>
      </c>
      <c r="G49" s="4" t="s">
        <v>380</v>
      </c>
      <c r="H49" s="4" t="s">
        <v>102</v>
      </c>
      <c r="I49" s="4"/>
      <c r="J49" s="4"/>
      <c r="K49" s="4">
        <v>212</v>
      </c>
      <c r="L49" s="4">
        <v>30</v>
      </c>
      <c r="M49" s="4">
        <v>0</v>
      </c>
      <c r="N49" s="4" t="s">
        <v>3</v>
      </c>
      <c r="O49" s="4">
        <v>2</v>
      </c>
      <c r="P49" s="4"/>
    </row>
    <row r="51" spans="1:16" x14ac:dyDescent="0.2">
      <c r="A51">
        <v>-1</v>
      </c>
    </row>
    <row r="54" spans="1:16" x14ac:dyDescent="0.2">
      <c r="A54" s="3">
        <v>75</v>
      </c>
      <c r="B54" s="3" t="s">
        <v>385</v>
      </c>
      <c r="C54" s="3">
        <v>2020</v>
      </c>
      <c r="D54" s="3">
        <v>0</v>
      </c>
      <c r="E54" s="3">
        <v>10</v>
      </c>
      <c r="F54" s="3">
        <v>0</v>
      </c>
      <c r="G54" s="3">
        <v>0</v>
      </c>
      <c r="H54" s="3">
        <v>1</v>
      </c>
      <c r="I54" s="3">
        <v>0</v>
      </c>
      <c r="J54" s="3">
        <v>1</v>
      </c>
      <c r="K54" s="3">
        <v>78</v>
      </c>
      <c r="L54" s="3">
        <v>30</v>
      </c>
      <c r="M54" s="3">
        <v>0</v>
      </c>
      <c r="N54" s="3">
        <v>38799519</v>
      </c>
      <c r="O54" s="3">
        <v>1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392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07" x14ac:dyDescent="0.2">
      <c r="A1">
        <f>ROW(Source!A32)</f>
        <v>32</v>
      </c>
      <c r="B1">
        <v>38799519</v>
      </c>
      <c r="C1">
        <v>38800044</v>
      </c>
      <c r="D1">
        <v>38451941</v>
      </c>
      <c r="E1">
        <v>27</v>
      </c>
      <c r="F1">
        <v>1</v>
      </c>
      <c r="G1">
        <v>27</v>
      </c>
      <c r="H1">
        <v>1</v>
      </c>
      <c r="I1" t="s">
        <v>387</v>
      </c>
      <c r="J1" t="s">
        <v>3</v>
      </c>
      <c r="K1" t="s">
        <v>388</v>
      </c>
      <c r="L1">
        <v>1191</v>
      </c>
      <c r="N1">
        <v>1013</v>
      </c>
      <c r="O1" t="s">
        <v>389</v>
      </c>
      <c r="P1" t="s">
        <v>389</v>
      </c>
      <c r="Q1">
        <v>1</v>
      </c>
      <c r="W1">
        <v>0</v>
      </c>
      <c r="X1">
        <v>476480486</v>
      </c>
      <c r="Y1">
        <v>7.2920000000000007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1</v>
      </c>
      <c r="AK1">
        <v>1</v>
      </c>
      <c r="AL1">
        <v>1</v>
      </c>
      <c r="AN1">
        <v>0</v>
      </c>
      <c r="AO1">
        <v>1</v>
      </c>
      <c r="AP1">
        <v>1</v>
      </c>
      <c r="AQ1">
        <v>0</v>
      </c>
      <c r="AR1">
        <v>0</v>
      </c>
      <c r="AS1" t="s">
        <v>3</v>
      </c>
      <c r="AT1">
        <v>36.46</v>
      </c>
      <c r="AU1" t="s">
        <v>22</v>
      </c>
      <c r="AV1">
        <v>1</v>
      </c>
      <c r="AW1">
        <v>2</v>
      </c>
      <c r="AX1">
        <v>38800049</v>
      </c>
      <c r="AY1">
        <v>1</v>
      </c>
      <c r="AZ1">
        <v>0</v>
      </c>
      <c r="BA1">
        <v>1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CX1">
        <f>Y1*Source!I32</f>
        <v>8.7504000000000008</v>
      </c>
      <c r="CY1">
        <f>AD1</f>
        <v>0</v>
      </c>
      <c r="CZ1">
        <f>AH1</f>
        <v>0</v>
      </c>
      <c r="DA1">
        <f>AL1</f>
        <v>1</v>
      </c>
      <c r="DB1">
        <f>ROUND((ROUND(AT1*CZ1,2)*0.2),6)</f>
        <v>0</v>
      </c>
      <c r="DC1">
        <f>ROUND((ROUND(AT1*AG1,2)*0.2),6)</f>
        <v>0</v>
      </c>
    </row>
    <row r="2" spans="1:107" x14ac:dyDescent="0.2">
      <c r="A2">
        <f>ROW(Source!A32)</f>
        <v>32</v>
      </c>
      <c r="B2">
        <v>38799519</v>
      </c>
      <c r="C2">
        <v>38800044</v>
      </c>
      <c r="D2">
        <v>38464670</v>
      </c>
      <c r="E2">
        <v>1</v>
      </c>
      <c r="F2">
        <v>1</v>
      </c>
      <c r="G2">
        <v>27</v>
      </c>
      <c r="H2">
        <v>2</v>
      </c>
      <c r="I2" t="s">
        <v>390</v>
      </c>
      <c r="J2" t="s">
        <v>391</v>
      </c>
      <c r="K2" t="s">
        <v>392</v>
      </c>
      <c r="L2">
        <v>1368</v>
      </c>
      <c r="N2">
        <v>1011</v>
      </c>
      <c r="O2" t="s">
        <v>393</v>
      </c>
      <c r="P2" t="s">
        <v>393</v>
      </c>
      <c r="Q2">
        <v>1</v>
      </c>
      <c r="W2">
        <v>0</v>
      </c>
      <c r="X2">
        <v>844705367</v>
      </c>
      <c r="Y2">
        <v>4.0000000000000001E-3</v>
      </c>
      <c r="AA2">
        <v>0</v>
      </c>
      <c r="AB2">
        <v>41.19</v>
      </c>
      <c r="AC2">
        <v>0.34</v>
      </c>
      <c r="AD2">
        <v>0</v>
      </c>
      <c r="AE2">
        <v>0</v>
      </c>
      <c r="AF2">
        <v>41.19</v>
      </c>
      <c r="AG2">
        <v>0.34</v>
      </c>
      <c r="AH2">
        <v>0</v>
      </c>
      <c r="AI2">
        <v>1</v>
      </c>
      <c r="AJ2">
        <v>1</v>
      </c>
      <c r="AK2">
        <v>1</v>
      </c>
      <c r="AL2">
        <v>1</v>
      </c>
      <c r="AN2">
        <v>0</v>
      </c>
      <c r="AO2">
        <v>1</v>
      </c>
      <c r="AP2">
        <v>1</v>
      </c>
      <c r="AQ2">
        <v>0</v>
      </c>
      <c r="AR2">
        <v>0</v>
      </c>
      <c r="AS2" t="s">
        <v>3</v>
      </c>
      <c r="AT2">
        <v>0.02</v>
      </c>
      <c r="AU2" t="s">
        <v>22</v>
      </c>
      <c r="AV2">
        <v>0</v>
      </c>
      <c r="AW2">
        <v>2</v>
      </c>
      <c r="AX2">
        <v>38800050</v>
      </c>
      <c r="AY2">
        <v>1</v>
      </c>
      <c r="AZ2">
        <v>0</v>
      </c>
      <c r="BA2">
        <v>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CX2">
        <f>Y2*Source!I32</f>
        <v>4.7999999999999996E-3</v>
      </c>
      <c r="CY2">
        <f>AB2</f>
        <v>41.19</v>
      </c>
      <c r="CZ2">
        <f>AF2</f>
        <v>41.19</v>
      </c>
      <c r="DA2">
        <f>AJ2</f>
        <v>1</v>
      </c>
      <c r="DB2">
        <f>ROUND((ROUND(AT2*CZ2,2)*0.2),6)</f>
        <v>0.16400000000000001</v>
      </c>
      <c r="DC2">
        <f>ROUND((ROUND(AT2*AG2,2)*0.2),6)</f>
        <v>2E-3</v>
      </c>
    </row>
    <row r="3" spans="1:107" x14ac:dyDescent="0.2">
      <c r="A3">
        <f>ROW(Source!A32)</f>
        <v>32</v>
      </c>
      <c r="B3">
        <v>38799519</v>
      </c>
      <c r="C3">
        <v>38800044</v>
      </c>
      <c r="D3">
        <v>38465076</v>
      </c>
      <c r="E3">
        <v>1</v>
      </c>
      <c r="F3">
        <v>1</v>
      </c>
      <c r="G3">
        <v>27</v>
      </c>
      <c r="H3">
        <v>2</v>
      </c>
      <c r="I3" t="s">
        <v>394</v>
      </c>
      <c r="J3" t="s">
        <v>395</v>
      </c>
      <c r="K3" t="s">
        <v>396</v>
      </c>
      <c r="L3">
        <v>1368</v>
      </c>
      <c r="N3">
        <v>1011</v>
      </c>
      <c r="O3" t="s">
        <v>393</v>
      </c>
      <c r="P3" t="s">
        <v>393</v>
      </c>
      <c r="Q3">
        <v>1</v>
      </c>
      <c r="W3">
        <v>0</v>
      </c>
      <c r="X3">
        <v>118009128</v>
      </c>
      <c r="Y3">
        <v>4.0000000000000008E-2</v>
      </c>
      <c r="AA3">
        <v>0</v>
      </c>
      <c r="AB3">
        <v>27.02</v>
      </c>
      <c r="AC3">
        <v>0.03</v>
      </c>
      <c r="AD3">
        <v>0</v>
      </c>
      <c r="AE3">
        <v>0</v>
      </c>
      <c r="AF3">
        <v>27.02</v>
      </c>
      <c r="AG3">
        <v>0.03</v>
      </c>
      <c r="AH3">
        <v>0</v>
      </c>
      <c r="AI3">
        <v>1</v>
      </c>
      <c r="AJ3">
        <v>1</v>
      </c>
      <c r="AK3">
        <v>1</v>
      </c>
      <c r="AL3">
        <v>1</v>
      </c>
      <c r="AN3">
        <v>0</v>
      </c>
      <c r="AO3">
        <v>1</v>
      </c>
      <c r="AP3">
        <v>1</v>
      </c>
      <c r="AQ3">
        <v>0</v>
      </c>
      <c r="AR3">
        <v>0</v>
      </c>
      <c r="AS3" t="s">
        <v>3</v>
      </c>
      <c r="AT3">
        <v>0.2</v>
      </c>
      <c r="AU3" t="s">
        <v>22</v>
      </c>
      <c r="AV3">
        <v>0</v>
      </c>
      <c r="AW3">
        <v>2</v>
      </c>
      <c r="AX3">
        <v>38800051</v>
      </c>
      <c r="AY3">
        <v>1</v>
      </c>
      <c r="AZ3">
        <v>0</v>
      </c>
      <c r="BA3">
        <v>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CX3">
        <f>Y3*Source!I32</f>
        <v>4.8000000000000008E-2</v>
      </c>
      <c r="CY3">
        <f>AB3</f>
        <v>27.02</v>
      </c>
      <c r="CZ3">
        <f>AF3</f>
        <v>27.02</v>
      </c>
      <c r="DA3">
        <f>AJ3</f>
        <v>1</v>
      </c>
      <c r="DB3">
        <f>ROUND((ROUND(AT3*CZ3,2)*0.2),6)</f>
        <v>1.08</v>
      </c>
      <c r="DC3">
        <f>ROUND((ROUND(AT3*AG3,2)*0.2),6)</f>
        <v>2E-3</v>
      </c>
    </row>
    <row r="4" spans="1:107" x14ac:dyDescent="0.2">
      <c r="A4">
        <f>ROW(Source!A32)</f>
        <v>32</v>
      </c>
      <c r="B4">
        <v>38799519</v>
      </c>
      <c r="C4">
        <v>38800044</v>
      </c>
      <c r="D4">
        <v>38465038</v>
      </c>
      <c r="E4">
        <v>1</v>
      </c>
      <c r="F4">
        <v>1</v>
      </c>
      <c r="G4">
        <v>27</v>
      </c>
      <c r="H4">
        <v>2</v>
      </c>
      <c r="I4" t="s">
        <v>397</v>
      </c>
      <c r="J4" t="s">
        <v>398</v>
      </c>
      <c r="K4" t="s">
        <v>399</v>
      </c>
      <c r="L4">
        <v>1368</v>
      </c>
      <c r="N4">
        <v>1011</v>
      </c>
      <c r="O4" t="s">
        <v>393</v>
      </c>
      <c r="P4" t="s">
        <v>393</v>
      </c>
      <c r="Q4">
        <v>1</v>
      </c>
      <c r="W4">
        <v>0</v>
      </c>
      <c r="X4">
        <v>-2096205149</v>
      </c>
      <c r="Y4">
        <v>0.60199999999999998</v>
      </c>
      <c r="AA4">
        <v>0</v>
      </c>
      <c r="AB4">
        <v>4.71</v>
      </c>
      <c r="AC4">
        <v>1.1200000000000001</v>
      </c>
      <c r="AD4">
        <v>0</v>
      </c>
      <c r="AE4">
        <v>0</v>
      </c>
      <c r="AF4">
        <v>4.71</v>
      </c>
      <c r="AG4">
        <v>1.1200000000000001</v>
      </c>
      <c r="AH4">
        <v>0</v>
      </c>
      <c r="AI4">
        <v>1</v>
      </c>
      <c r="AJ4">
        <v>1</v>
      </c>
      <c r="AK4">
        <v>1</v>
      </c>
      <c r="AL4">
        <v>1</v>
      </c>
      <c r="AN4">
        <v>0</v>
      </c>
      <c r="AO4">
        <v>1</v>
      </c>
      <c r="AP4">
        <v>1</v>
      </c>
      <c r="AQ4">
        <v>0</v>
      </c>
      <c r="AR4">
        <v>0</v>
      </c>
      <c r="AS4" t="s">
        <v>3</v>
      </c>
      <c r="AT4">
        <v>3.01</v>
      </c>
      <c r="AU4" t="s">
        <v>22</v>
      </c>
      <c r="AV4">
        <v>0</v>
      </c>
      <c r="AW4">
        <v>2</v>
      </c>
      <c r="AX4">
        <v>38800052</v>
      </c>
      <c r="AY4">
        <v>1</v>
      </c>
      <c r="AZ4">
        <v>0</v>
      </c>
      <c r="BA4">
        <v>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CX4">
        <f>Y4*Source!I32</f>
        <v>0.72239999999999993</v>
      </c>
      <c r="CY4">
        <f>AB4</f>
        <v>4.71</v>
      </c>
      <c r="CZ4">
        <f>AF4</f>
        <v>4.71</v>
      </c>
      <c r="DA4">
        <f>AJ4</f>
        <v>1</v>
      </c>
      <c r="DB4">
        <f>ROUND((ROUND(AT4*CZ4,2)*0.2),6)</f>
        <v>2.8359999999999999</v>
      </c>
      <c r="DC4">
        <f>ROUND((ROUND(AT4*AG4,2)*0.2),6)</f>
        <v>0.67400000000000004</v>
      </c>
    </row>
    <row r="5" spans="1:107" x14ac:dyDescent="0.2">
      <c r="A5">
        <f>ROW(Source!A32)</f>
        <v>32</v>
      </c>
      <c r="B5">
        <v>38799519</v>
      </c>
      <c r="C5">
        <v>38800044</v>
      </c>
      <c r="D5">
        <v>38464353</v>
      </c>
      <c r="E5">
        <v>1</v>
      </c>
      <c r="F5">
        <v>1</v>
      </c>
      <c r="G5">
        <v>27</v>
      </c>
      <c r="H5">
        <v>2</v>
      </c>
      <c r="I5" t="s">
        <v>400</v>
      </c>
      <c r="J5" t="s">
        <v>401</v>
      </c>
      <c r="K5" t="s">
        <v>402</v>
      </c>
      <c r="L5">
        <v>1368</v>
      </c>
      <c r="N5">
        <v>1011</v>
      </c>
      <c r="O5" t="s">
        <v>393</v>
      </c>
      <c r="P5" t="s">
        <v>393</v>
      </c>
      <c r="Q5">
        <v>1</v>
      </c>
      <c r="W5">
        <v>0</v>
      </c>
      <c r="X5">
        <v>-699398312</v>
      </c>
      <c r="Y5">
        <v>0.22000000000000003</v>
      </c>
      <c r="AA5">
        <v>0</v>
      </c>
      <c r="AB5">
        <v>10.39</v>
      </c>
      <c r="AC5">
        <v>0.03</v>
      </c>
      <c r="AD5">
        <v>0</v>
      </c>
      <c r="AE5">
        <v>0</v>
      </c>
      <c r="AF5">
        <v>10.39</v>
      </c>
      <c r="AG5">
        <v>0.03</v>
      </c>
      <c r="AH5">
        <v>0</v>
      </c>
      <c r="AI5">
        <v>1</v>
      </c>
      <c r="AJ5">
        <v>1</v>
      </c>
      <c r="AK5">
        <v>1</v>
      </c>
      <c r="AL5">
        <v>1</v>
      </c>
      <c r="AN5">
        <v>0</v>
      </c>
      <c r="AO5">
        <v>1</v>
      </c>
      <c r="AP5">
        <v>1</v>
      </c>
      <c r="AQ5">
        <v>0</v>
      </c>
      <c r="AR5">
        <v>0</v>
      </c>
      <c r="AS5" t="s">
        <v>3</v>
      </c>
      <c r="AT5">
        <v>1.1000000000000001</v>
      </c>
      <c r="AU5" t="s">
        <v>22</v>
      </c>
      <c r="AV5">
        <v>0</v>
      </c>
      <c r="AW5">
        <v>2</v>
      </c>
      <c r="AX5">
        <v>38800053</v>
      </c>
      <c r="AY5">
        <v>1</v>
      </c>
      <c r="AZ5">
        <v>0</v>
      </c>
      <c r="BA5">
        <v>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CX5">
        <f>Y5*Source!I32</f>
        <v>0.26400000000000001</v>
      </c>
      <c r="CY5">
        <f>AB5</f>
        <v>10.39</v>
      </c>
      <c r="CZ5">
        <f>AF5</f>
        <v>10.39</v>
      </c>
      <c r="DA5">
        <f>AJ5</f>
        <v>1</v>
      </c>
      <c r="DB5">
        <f>ROUND((ROUND(AT5*CZ5,2)*0.2),6)</f>
        <v>2.286</v>
      </c>
      <c r="DC5">
        <f>ROUND((ROUND(AT5*AG5,2)*0.2),6)</f>
        <v>6.0000000000000001E-3</v>
      </c>
    </row>
    <row r="6" spans="1:107" x14ac:dyDescent="0.2">
      <c r="A6">
        <f>ROW(Source!A32)</f>
        <v>32</v>
      </c>
      <c r="B6">
        <v>38799519</v>
      </c>
      <c r="C6">
        <v>38800044</v>
      </c>
      <c r="D6">
        <v>38466121</v>
      </c>
      <c r="E6">
        <v>1</v>
      </c>
      <c r="F6">
        <v>1</v>
      </c>
      <c r="G6">
        <v>27</v>
      </c>
      <c r="H6">
        <v>3</v>
      </c>
      <c r="I6" t="s">
        <v>403</v>
      </c>
      <c r="J6" t="s">
        <v>404</v>
      </c>
      <c r="K6" t="s">
        <v>405</v>
      </c>
      <c r="L6">
        <v>1327</v>
      </c>
      <c r="N6">
        <v>1005</v>
      </c>
      <c r="O6" t="s">
        <v>289</v>
      </c>
      <c r="P6" t="s">
        <v>289</v>
      </c>
      <c r="Q6">
        <v>1</v>
      </c>
      <c r="W6">
        <v>0</v>
      </c>
      <c r="X6">
        <v>-1924715319</v>
      </c>
      <c r="Y6">
        <v>0</v>
      </c>
      <c r="AA6">
        <v>397.91</v>
      </c>
      <c r="AB6">
        <v>0</v>
      </c>
      <c r="AC6">
        <v>0</v>
      </c>
      <c r="AD6">
        <v>0</v>
      </c>
      <c r="AE6">
        <v>397.91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N6">
        <v>0</v>
      </c>
      <c r="AO6">
        <v>1</v>
      </c>
      <c r="AP6">
        <v>1</v>
      </c>
      <c r="AQ6">
        <v>0</v>
      </c>
      <c r="AR6">
        <v>0</v>
      </c>
      <c r="AS6" t="s">
        <v>3</v>
      </c>
      <c r="AT6">
        <v>100</v>
      </c>
      <c r="AU6" t="s">
        <v>21</v>
      </c>
      <c r="AV6">
        <v>0</v>
      </c>
      <c r="AW6">
        <v>2</v>
      </c>
      <c r="AX6">
        <v>38800054</v>
      </c>
      <c r="AY6">
        <v>1</v>
      </c>
      <c r="AZ6">
        <v>0</v>
      </c>
      <c r="BA6">
        <v>6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CX6">
        <f>Y6*Source!I32</f>
        <v>0</v>
      </c>
      <c r="CY6">
        <f>AA6</f>
        <v>397.91</v>
      </c>
      <c r="CZ6">
        <f>AE6</f>
        <v>397.91</v>
      </c>
      <c r="DA6">
        <f>AI6</f>
        <v>1</v>
      </c>
      <c r="DB6">
        <f>ROUND((ROUND(AT6*CZ6,2)*0),6)</f>
        <v>0</v>
      </c>
      <c r="DC6">
        <f>ROUND((ROUND(AT6*AG6,2)*0),6)</f>
        <v>0</v>
      </c>
    </row>
    <row r="7" spans="1:107" x14ac:dyDescent="0.2">
      <c r="A7">
        <f>ROW(Source!A32)</f>
        <v>32</v>
      </c>
      <c r="B7">
        <v>38799519</v>
      </c>
      <c r="C7">
        <v>38800044</v>
      </c>
      <c r="D7">
        <v>38466153</v>
      </c>
      <c r="E7">
        <v>1</v>
      </c>
      <c r="F7">
        <v>1</v>
      </c>
      <c r="G7">
        <v>27</v>
      </c>
      <c r="H7">
        <v>3</v>
      </c>
      <c r="I7" t="s">
        <v>406</v>
      </c>
      <c r="J7" t="s">
        <v>407</v>
      </c>
      <c r="K7" t="s">
        <v>408</v>
      </c>
      <c r="L7">
        <v>1348</v>
      </c>
      <c r="N7">
        <v>1009</v>
      </c>
      <c r="O7" t="s">
        <v>155</v>
      </c>
      <c r="P7" t="s">
        <v>155</v>
      </c>
      <c r="Q7">
        <v>1000</v>
      </c>
      <c r="W7">
        <v>0</v>
      </c>
      <c r="X7">
        <v>-1675384158</v>
      </c>
      <c r="Y7">
        <v>0</v>
      </c>
      <c r="AA7">
        <v>153777.19</v>
      </c>
      <c r="AB7">
        <v>0</v>
      </c>
      <c r="AC7">
        <v>0</v>
      </c>
      <c r="AD7">
        <v>0</v>
      </c>
      <c r="AE7">
        <v>153777.19</v>
      </c>
      <c r="AF7">
        <v>0</v>
      </c>
      <c r="AG7">
        <v>0</v>
      </c>
      <c r="AH7">
        <v>0</v>
      </c>
      <c r="AI7">
        <v>1</v>
      </c>
      <c r="AJ7">
        <v>1</v>
      </c>
      <c r="AK7">
        <v>1</v>
      </c>
      <c r="AL7">
        <v>1</v>
      </c>
      <c r="AN7">
        <v>0</v>
      </c>
      <c r="AO7">
        <v>1</v>
      </c>
      <c r="AP7">
        <v>1</v>
      </c>
      <c r="AQ7">
        <v>0</v>
      </c>
      <c r="AR7">
        <v>0</v>
      </c>
      <c r="AS7" t="s">
        <v>3</v>
      </c>
      <c r="AT7">
        <v>2E-3</v>
      </c>
      <c r="AU7" t="s">
        <v>21</v>
      </c>
      <c r="AV7">
        <v>0</v>
      </c>
      <c r="AW7">
        <v>2</v>
      </c>
      <c r="AX7">
        <v>38800055</v>
      </c>
      <c r="AY7">
        <v>1</v>
      </c>
      <c r="AZ7">
        <v>0</v>
      </c>
      <c r="BA7">
        <v>7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CX7">
        <f>Y7*Source!I32</f>
        <v>0</v>
      </c>
      <c r="CY7">
        <f>AA7</f>
        <v>153777.19</v>
      </c>
      <c r="CZ7">
        <f>AE7</f>
        <v>153777.19</v>
      </c>
      <c r="DA7">
        <f>AI7</f>
        <v>1</v>
      </c>
      <c r="DB7">
        <f>ROUND((ROUND(AT7*CZ7,2)*0),6)</f>
        <v>0</v>
      </c>
      <c r="DC7">
        <f>ROUND((ROUND(AT7*AG7,2)*0),6)</f>
        <v>0</v>
      </c>
    </row>
    <row r="8" spans="1:107" x14ac:dyDescent="0.2">
      <c r="A8">
        <f>ROW(Source!A32)</f>
        <v>32</v>
      </c>
      <c r="B8">
        <v>38799519</v>
      </c>
      <c r="C8">
        <v>38800044</v>
      </c>
      <c r="D8">
        <v>38469131</v>
      </c>
      <c r="E8">
        <v>1</v>
      </c>
      <c r="F8">
        <v>1</v>
      </c>
      <c r="G8">
        <v>27</v>
      </c>
      <c r="H8">
        <v>3</v>
      </c>
      <c r="I8" t="s">
        <v>409</v>
      </c>
      <c r="J8" t="s">
        <v>410</v>
      </c>
      <c r="K8" t="s">
        <v>411</v>
      </c>
      <c r="L8">
        <v>1348</v>
      </c>
      <c r="N8">
        <v>1009</v>
      </c>
      <c r="O8" t="s">
        <v>155</v>
      </c>
      <c r="P8" t="s">
        <v>155</v>
      </c>
      <c r="Q8">
        <v>1000</v>
      </c>
      <c r="W8">
        <v>0</v>
      </c>
      <c r="X8">
        <v>-368355619</v>
      </c>
      <c r="Y8">
        <v>0</v>
      </c>
      <c r="AA8">
        <v>75026.559999999998</v>
      </c>
      <c r="AB8">
        <v>0</v>
      </c>
      <c r="AC8">
        <v>0</v>
      </c>
      <c r="AD8">
        <v>0</v>
      </c>
      <c r="AE8">
        <v>75026.559999999998</v>
      </c>
      <c r="AF8">
        <v>0</v>
      </c>
      <c r="AG8">
        <v>0</v>
      </c>
      <c r="AH8">
        <v>0</v>
      </c>
      <c r="AI8">
        <v>1</v>
      </c>
      <c r="AJ8">
        <v>1</v>
      </c>
      <c r="AK8">
        <v>1</v>
      </c>
      <c r="AL8">
        <v>1</v>
      </c>
      <c r="AN8">
        <v>0</v>
      </c>
      <c r="AO8">
        <v>1</v>
      </c>
      <c r="AP8">
        <v>1</v>
      </c>
      <c r="AQ8">
        <v>0</v>
      </c>
      <c r="AR8">
        <v>0</v>
      </c>
      <c r="AS8" t="s">
        <v>3</v>
      </c>
      <c r="AT8">
        <v>1.0999999999999999E-2</v>
      </c>
      <c r="AU8" t="s">
        <v>21</v>
      </c>
      <c r="AV8">
        <v>0</v>
      </c>
      <c r="AW8">
        <v>2</v>
      </c>
      <c r="AX8">
        <v>38800056</v>
      </c>
      <c r="AY8">
        <v>1</v>
      </c>
      <c r="AZ8">
        <v>0</v>
      </c>
      <c r="BA8">
        <v>8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CX8">
        <f>Y8*Source!I32</f>
        <v>0</v>
      </c>
      <c r="CY8">
        <f>AA8</f>
        <v>75026.559999999998</v>
      </c>
      <c r="CZ8">
        <f>AE8</f>
        <v>75026.559999999998</v>
      </c>
      <c r="DA8">
        <f>AI8</f>
        <v>1</v>
      </c>
      <c r="DB8">
        <f>ROUND((ROUND(AT8*CZ8,2)*0),6)</f>
        <v>0</v>
      </c>
      <c r="DC8">
        <f>ROUND((ROUND(AT8*AG8,2)*0),6)</f>
        <v>0</v>
      </c>
    </row>
    <row r="9" spans="1:107" x14ac:dyDescent="0.2">
      <c r="A9">
        <f>ROW(Source!A33)</f>
        <v>33</v>
      </c>
      <c r="B9">
        <v>38799519</v>
      </c>
      <c r="C9">
        <v>38800057</v>
      </c>
      <c r="D9">
        <v>38451941</v>
      </c>
      <c r="E9">
        <v>27</v>
      </c>
      <c r="F9">
        <v>1</v>
      </c>
      <c r="G9">
        <v>27</v>
      </c>
      <c r="H9">
        <v>1</v>
      </c>
      <c r="I9" t="s">
        <v>387</v>
      </c>
      <c r="J9" t="s">
        <v>3</v>
      </c>
      <c r="K9" t="s">
        <v>388</v>
      </c>
      <c r="L9">
        <v>1191</v>
      </c>
      <c r="N9">
        <v>1013</v>
      </c>
      <c r="O9" t="s">
        <v>389</v>
      </c>
      <c r="P9" t="s">
        <v>389</v>
      </c>
      <c r="Q9">
        <v>1</v>
      </c>
      <c r="W9">
        <v>0</v>
      </c>
      <c r="X9">
        <v>476480486</v>
      </c>
      <c r="Y9">
        <v>2.15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1</v>
      </c>
      <c r="AK9">
        <v>1</v>
      </c>
      <c r="AL9">
        <v>1</v>
      </c>
      <c r="AN9">
        <v>0</v>
      </c>
      <c r="AO9">
        <v>1</v>
      </c>
      <c r="AP9">
        <v>0</v>
      </c>
      <c r="AQ9">
        <v>0</v>
      </c>
      <c r="AR9">
        <v>0</v>
      </c>
      <c r="AS9" t="s">
        <v>3</v>
      </c>
      <c r="AT9">
        <v>2.15</v>
      </c>
      <c r="AU9" t="s">
        <v>3</v>
      </c>
      <c r="AV9">
        <v>1</v>
      </c>
      <c r="AW9">
        <v>2</v>
      </c>
      <c r="AX9">
        <v>38800058</v>
      </c>
      <c r="AY9">
        <v>1</v>
      </c>
      <c r="AZ9">
        <v>0</v>
      </c>
      <c r="BA9">
        <v>9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CX9">
        <f>Y9*Source!I33</f>
        <v>25.799999999999997</v>
      </c>
      <c r="CY9">
        <f>AD9</f>
        <v>0</v>
      </c>
      <c r="CZ9">
        <f>AH9</f>
        <v>0</v>
      </c>
      <c r="DA9">
        <f>AL9</f>
        <v>1</v>
      </c>
      <c r="DB9">
        <f t="shared" ref="DB9:DB40" si="0">ROUND(ROUND(AT9*CZ9,2),6)</f>
        <v>0</v>
      </c>
      <c r="DC9">
        <f t="shared" ref="DC9:DC40" si="1">ROUND(ROUND(AT9*AG9,2),6)</f>
        <v>0</v>
      </c>
    </row>
    <row r="10" spans="1:107" x14ac:dyDescent="0.2">
      <c r="A10">
        <f>ROW(Source!A34)</f>
        <v>34</v>
      </c>
      <c r="B10">
        <v>38799519</v>
      </c>
      <c r="C10">
        <v>38800059</v>
      </c>
      <c r="D10">
        <v>38451941</v>
      </c>
      <c r="E10">
        <v>27</v>
      </c>
      <c r="F10">
        <v>1</v>
      </c>
      <c r="G10">
        <v>27</v>
      </c>
      <c r="H10">
        <v>1</v>
      </c>
      <c r="I10" t="s">
        <v>387</v>
      </c>
      <c r="J10" t="s">
        <v>3</v>
      </c>
      <c r="K10" t="s">
        <v>388</v>
      </c>
      <c r="L10">
        <v>1191</v>
      </c>
      <c r="N10">
        <v>1013</v>
      </c>
      <c r="O10" t="s">
        <v>389</v>
      </c>
      <c r="P10" t="s">
        <v>389</v>
      </c>
      <c r="Q10">
        <v>1</v>
      </c>
      <c r="W10">
        <v>0</v>
      </c>
      <c r="X10">
        <v>476480486</v>
      </c>
      <c r="Y10">
        <v>8.94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1</v>
      </c>
      <c r="AN10">
        <v>0</v>
      </c>
      <c r="AO10">
        <v>1</v>
      </c>
      <c r="AP10">
        <v>0</v>
      </c>
      <c r="AQ10">
        <v>0</v>
      </c>
      <c r="AR10">
        <v>0</v>
      </c>
      <c r="AS10" t="s">
        <v>3</v>
      </c>
      <c r="AT10">
        <v>8.94</v>
      </c>
      <c r="AU10" t="s">
        <v>3</v>
      </c>
      <c r="AV10">
        <v>1</v>
      </c>
      <c r="AW10">
        <v>2</v>
      </c>
      <c r="AX10">
        <v>38800060</v>
      </c>
      <c r="AY10">
        <v>1</v>
      </c>
      <c r="AZ10">
        <v>0</v>
      </c>
      <c r="BA10">
        <v>10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CX10">
        <f>Y10*Source!I34</f>
        <v>155.0196</v>
      </c>
      <c r="CY10">
        <f>AD10</f>
        <v>0</v>
      </c>
      <c r="CZ10">
        <f>AH10</f>
        <v>0</v>
      </c>
      <c r="DA10">
        <f>AL10</f>
        <v>1</v>
      </c>
      <c r="DB10">
        <f t="shared" si="0"/>
        <v>0</v>
      </c>
      <c r="DC10">
        <f t="shared" si="1"/>
        <v>0</v>
      </c>
    </row>
    <row r="11" spans="1:107" x14ac:dyDescent="0.2">
      <c r="A11">
        <f>ROW(Source!A34)</f>
        <v>34</v>
      </c>
      <c r="B11">
        <v>38799519</v>
      </c>
      <c r="C11">
        <v>38800059</v>
      </c>
      <c r="D11">
        <v>38464567</v>
      </c>
      <c r="E11">
        <v>1</v>
      </c>
      <c r="F11">
        <v>1</v>
      </c>
      <c r="G11">
        <v>27</v>
      </c>
      <c r="H11">
        <v>2</v>
      </c>
      <c r="I11" t="s">
        <v>412</v>
      </c>
      <c r="J11" t="s">
        <v>413</v>
      </c>
      <c r="K11" t="s">
        <v>414</v>
      </c>
      <c r="L11">
        <v>1368</v>
      </c>
      <c r="N11">
        <v>1011</v>
      </c>
      <c r="O11" t="s">
        <v>393</v>
      </c>
      <c r="P11" t="s">
        <v>393</v>
      </c>
      <c r="Q11">
        <v>1</v>
      </c>
      <c r="W11">
        <v>0</v>
      </c>
      <c r="X11">
        <v>734322642</v>
      </c>
      <c r="Y11">
        <v>7.92</v>
      </c>
      <c r="AA11">
        <v>0</v>
      </c>
      <c r="AB11">
        <v>744.2</v>
      </c>
      <c r="AC11">
        <v>423.17</v>
      </c>
      <c r="AD11">
        <v>0</v>
      </c>
      <c r="AE11">
        <v>0</v>
      </c>
      <c r="AF11">
        <v>744.2</v>
      </c>
      <c r="AG11">
        <v>423.17</v>
      </c>
      <c r="AH11">
        <v>0</v>
      </c>
      <c r="AI11">
        <v>1</v>
      </c>
      <c r="AJ11">
        <v>1</v>
      </c>
      <c r="AK11">
        <v>1</v>
      </c>
      <c r="AL11">
        <v>1</v>
      </c>
      <c r="AN11">
        <v>0</v>
      </c>
      <c r="AO11">
        <v>1</v>
      </c>
      <c r="AP11">
        <v>0</v>
      </c>
      <c r="AQ11">
        <v>0</v>
      </c>
      <c r="AR11">
        <v>0</v>
      </c>
      <c r="AS11" t="s">
        <v>3</v>
      </c>
      <c r="AT11">
        <v>7.92</v>
      </c>
      <c r="AU11" t="s">
        <v>3</v>
      </c>
      <c r="AV11">
        <v>0</v>
      </c>
      <c r="AW11">
        <v>2</v>
      </c>
      <c r="AX11">
        <v>38800061</v>
      </c>
      <c r="AY11">
        <v>1</v>
      </c>
      <c r="AZ11">
        <v>0</v>
      </c>
      <c r="BA11">
        <v>11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CX11">
        <f>Y11*Source!I34</f>
        <v>137.33279999999999</v>
      </c>
      <c r="CY11">
        <f>AB11</f>
        <v>744.2</v>
      </c>
      <c r="CZ11">
        <f>AF11</f>
        <v>744.2</v>
      </c>
      <c r="DA11">
        <f>AJ11</f>
        <v>1</v>
      </c>
      <c r="DB11">
        <f t="shared" si="0"/>
        <v>5894.06</v>
      </c>
      <c r="DC11">
        <f t="shared" si="1"/>
        <v>3351.51</v>
      </c>
    </row>
    <row r="12" spans="1:107" x14ac:dyDescent="0.2">
      <c r="A12">
        <f>ROW(Source!A34)</f>
        <v>34</v>
      </c>
      <c r="B12">
        <v>38799519</v>
      </c>
      <c r="C12">
        <v>38800059</v>
      </c>
      <c r="D12">
        <v>38465082</v>
      </c>
      <c r="E12">
        <v>1</v>
      </c>
      <c r="F12">
        <v>1</v>
      </c>
      <c r="G12">
        <v>27</v>
      </c>
      <c r="H12">
        <v>2</v>
      </c>
      <c r="I12" t="s">
        <v>415</v>
      </c>
      <c r="J12" t="s">
        <v>416</v>
      </c>
      <c r="K12" t="s">
        <v>417</v>
      </c>
      <c r="L12">
        <v>1368</v>
      </c>
      <c r="N12">
        <v>1011</v>
      </c>
      <c r="O12" t="s">
        <v>393</v>
      </c>
      <c r="P12" t="s">
        <v>393</v>
      </c>
      <c r="Q12">
        <v>1</v>
      </c>
      <c r="W12">
        <v>0</v>
      </c>
      <c r="X12">
        <v>1403155342</v>
      </c>
      <c r="Y12">
        <v>7.92</v>
      </c>
      <c r="AA12">
        <v>0</v>
      </c>
      <c r="AB12">
        <v>6.02</v>
      </c>
      <c r="AC12">
        <v>0.02</v>
      </c>
      <c r="AD12">
        <v>0</v>
      </c>
      <c r="AE12">
        <v>0</v>
      </c>
      <c r="AF12">
        <v>6.02</v>
      </c>
      <c r="AG12">
        <v>0.02</v>
      </c>
      <c r="AH12">
        <v>0</v>
      </c>
      <c r="AI12">
        <v>1</v>
      </c>
      <c r="AJ12">
        <v>1</v>
      </c>
      <c r="AK12">
        <v>1</v>
      </c>
      <c r="AL12">
        <v>1</v>
      </c>
      <c r="AN12">
        <v>0</v>
      </c>
      <c r="AO12">
        <v>1</v>
      </c>
      <c r="AP12">
        <v>0</v>
      </c>
      <c r="AQ12">
        <v>0</v>
      </c>
      <c r="AR12">
        <v>0</v>
      </c>
      <c r="AS12" t="s">
        <v>3</v>
      </c>
      <c r="AT12">
        <v>7.92</v>
      </c>
      <c r="AU12" t="s">
        <v>3</v>
      </c>
      <c r="AV12">
        <v>0</v>
      </c>
      <c r="AW12">
        <v>2</v>
      </c>
      <c r="AX12">
        <v>38800062</v>
      </c>
      <c r="AY12">
        <v>1</v>
      </c>
      <c r="AZ12">
        <v>0</v>
      </c>
      <c r="BA12">
        <v>12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CX12">
        <f>Y12*Source!I34</f>
        <v>137.33279999999999</v>
      </c>
      <c r="CY12">
        <f>AB12</f>
        <v>6.02</v>
      </c>
      <c r="CZ12">
        <f>AF12</f>
        <v>6.02</v>
      </c>
      <c r="DA12">
        <f>AJ12</f>
        <v>1</v>
      </c>
      <c r="DB12">
        <f t="shared" si="0"/>
        <v>47.68</v>
      </c>
      <c r="DC12">
        <f t="shared" si="1"/>
        <v>0.16</v>
      </c>
    </row>
    <row r="13" spans="1:107" x14ac:dyDescent="0.2">
      <c r="A13">
        <f>ROW(Source!A34)</f>
        <v>34</v>
      </c>
      <c r="B13">
        <v>38799519</v>
      </c>
      <c r="C13">
        <v>38800059</v>
      </c>
      <c r="D13">
        <v>38453717</v>
      </c>
      <c r="E13">
        <v>27</v>
      </c>
      <c r="F13">
        <v>1</v>
      </c>
      <c r="G13">
        <v>27</v>
      </c>
      <c r="H13">
        <v>3</v>
      </c>
      <c r="I13" t="s">
        <v>418</v>
      </c>
      <c r="J13" t="s">
        <v>3</v>
      </c>
      <c r="K13" t="s">
        <v>419</v>
      </c>
      <c r="L13">
        <v>1348</v>
      </c>
      <c r="N13">
        <v>1009</v>
      </c>
      <c r="O13" t="s">
        <v>155</v>
      </c>
      <c r="P13" t="s">
        <v>155</v>
      </c>
      <c r="Q13">
        <v>1000</v>
      </c>
      <c r="W13">
        <v>0</v>
      </c>
      <c r="X13">
        <v>1489638031</v>
      </c>
      <c r="Y13">
        <v>2.4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N13">
        <v>0</v>
      </c>
      <c r="AO13">
        <v>1</v>
      </c>
      <c r="AP13">
        <v>0</v>
      </c>
      <c r="AQ13">
        <v>0</v>
      </c>
      <c r="AR13">
        <v>0</v>
      </c>
      <c r="AS13" t="s">
        <v>3</v>
      </c>
      <c r="AT13">
        <v>2.4</v>
      </c>
      <c r="AU13" t="s">
        <v>3</v>
      </c>
      <c r="AV13">
        <v>0</v>
      </c>
      <c r="AW13">
        <v>2</v>
      </c>
      <c r="AX13">
        <v>38800063</v>
      </c>
      <c r="AY13">
        <v>1</v>
      </c>
      <c r="AZ13">
        <v>0</v>
      </c>
      <c r="BA13">
        <v>13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CX13">
        <f>Y13*Source!I34</f>
        <v>41.616</v>
      </c>
      <c r="CY13">
        <f>AA13</f>
        <v>0</v>
      </c>
      <c r="CZ13">
        <f>AE13</f>
        <v>0</v>
      </c>
      <c r="DA13">
        <f>AI13</f>
        <v>1</v>
      </c>
      <c r="DB13">
        <f t="shared" si="0"/>
        <v>0</v>
      </c>
      <c r="DC13">
        <f t="shared" si="1"/>
        <v>0</v>
      </c>
    </row>
    <row r="14" spans="1:107" x14ac:dyDescent="0.2">
      <c r="A14">
        <f>ROW(Source!A36)</f>
        <v>36</v>
      </c>
      <c r="B14">
        <v>38799519</v>
      </c>
      <c r="C14">
        <v>38800064</v>
      </c>
      <c r="D14">
        <v>38451941</v>
      </c>
      <c r="E14">
        <v>27</v>
      </c>
      <c r="F14">
        <v>1</v>
      </c>
      <c r="G14">
        <v>27</v>
      </c>
      <c r="H14">
        <v>1</v>
      </c>
      <c r="I14" t="s">
        <v>387</v>
      </c>
      <c r="J14" t="s">
        <v>3</v>
      </c>
      <c r="K14" t="s">
        <v>388</v>
      </c>
      <c r="L14">
        <v>1191</v>
      </c>
      <c r="N14">
        <v>1013</v>
      </c>
      <c r="O14" t="s">
        <v>389</v>
      </c>
      <c r="P14" t="s">
        <v>389</v>
      </c>
      <c r="Q14">
        <v>1</v>
      </c>
      <c r="W14">
        <v>0</v>
      </c>
      <c r="X14">
        <v>476480486</v>
      </c>
      <c r="Y14">
        <v>33.6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N14">
        <v>0</v>
      </c>
      <c r="AO14">
        <v>1</v>
      </c>
      <c r="AP14">
        <v>0</v>
      </c>
      <c r="AQ14">
        <v>0</v>
      </c>
      <c r="AR14">
        <v>0</v>
      </c>
      <c r="AS14" t="s">
        <v>3</v>
      </c>
      <c r="AT14">
        <v>33.6</v>
      </c>
      <c r="AU14" t="s">
        <v>3</v>
      </c>
      <c r="AV14">
        <v>1</v>
      </c>
      <c r="AW14">
        <v>2</v>
      </c>
      <c r="AX14">
        <v>38800065</v>
      </c>
      <c r="AY14">
        <v>1</v>
      </c>
      <c r="AZ14">
        <v>0</v>
      </c>
      <c r="BA14">
        <v>14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CX14">
        <f>Y14*Source!I36</f>
        <v>27.4176</v>
      </c>
      <c r="CY14">
        <f>AD14</f>
        <v>0</v>
      </c>
      <c r="CZ14">
        <f>AH14</f>
        <v>0</v>
      </c>
      <c r="DA14">
        <f>AL14</f>
        <v>1</v>
      </c>
      <c r="DB14">
        <f t="shared" si="0"/>
        <v>0</v>
      </c>
      <c r="DC14">
        <f t="shared" si="1"/>
        <v>0</v>
      </c>
    </row>
    <row r="15" spans="1:107" x14ac:dyDescent="0.2">
      <c r="A15">
        <f>ROW(Source!A36)</f>
        <v>36</v>
      </c>
      <c r="B15">
        <v>38799519</v>
      </c>
      <c r="C15">
        <v>38800064</v>
      </c>
      <c r="D15">
        <v>38453717</v>
      </c>
      <c r="E15">
        <v>27</v>
      </c>
      <c r="F15">
        <v>1</v>
      </c>
      <c r="G15">
        <v>27</v>
      </c>
      <c r="H15">
        <v>3</v>
      </c>
      <c r="I15" t="s">
        <v>418</v>
      </c>
      <c r="J15" t="s">
        <v>3</v>
      </c>
      <c r="K15" t="s">
        <v>419</v>
      </c>
      <c r="L15">
        <v>1348</v>
      </c>
      <c r="N15">
        <v>1009</v>
      </c>
      <c r="O15" t="s">
        <v>155</v>
      </c>
      <c r="P15" t="s">
        <v>155</v>
      </c>
      <c r="Q15">
        <v>1000</v>
      </c>
      <c r="W15">
        <v>0</v>
      </c>
      <c r="X15">
        <v>1489638031</v>
      </c>
      <c r="Y15">
        <v>0.8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N15">
        <v>0</v>
      </c>
      <c r="AO15">
        <v>1</v>
      </c>
      <c r="AP15">
        <v>0</v>
      </c>
      <c r="AQ15">
        <v>0</v>
      </c>
      <c r="AR15">
        <v>0</v>
      </c>
      <c r="AS15" t="s">
        <v>3</v>
      </c>
      <c r="AT15">
        <v>0.8</v>
      </c>
      <c r="AU15" t="s">
        <v>3</v>
      </c>
      <c r="AV15">
        <v>0</v>
      </c>
      <c r="AW15">
        <v>2</v>
      </c>
      <c r="AX15">
        <v>38800066</v>
      </c>
      <c r="AY15">
        <v>1</v>
      </c>
      <c r="AZ15">
        <v>0</v>
      </c>
      <c r="BA15">
        <v>15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CX15">
        <f>Y15*Source!I36</f>
        <v>0.65280000000000005</v>
      </c>
      <c r="CY15">
        <f>AA15</f>
        <v>0</v>
      </c>
      <c r="CZ15">
        <f>AE15</f>
        <v>0</v>
      </c>
      <c r="DA15">
        <f>AI15</f>
        <v>1</v>
      </c>
      <c r="DB15">
        <f t="shared" si="0"/>
        <v>0</v>
      </c>
      <c r="DC15">
        <f t="shared" si="1"/>
        <v>0</v>
      </c>
    </row>
    <row r="16" spans="1:107" x14ac:dyDescent="0.2">
      <c r="A16">
        <f>ROW(Source!A37)</f>
        <v>37</v>
      </c>
      <c r="B16">
        <v>38799519</v>
      </c>
      <c r="C16">
        <v>38800067</v>
      </c>
      <c r="D16">
        <v>38451941</v>
      </c>
      <c r="E16">
        <v>27</v>
      </c>
      <c r="F16">
        <v>1</v>
      </c>
      <c r="G16">
        <v>27</v>
      </c>
      <c r="H16">
        <v>1</v>
      </c>
      <c r="I16" t="s">
        <v>387</v>
      </c>
      <c r="J16" t="s">
        <v>3</v>
      </c>
      <c r="K16" t="s">
        <v>388</v>
      </c>
      <c r="L16">
        <v>1191</v>
      </c>
      <c r="N16">
        <v>1013</v>
      </c>
      <c r="O16" t="s">
        <v>389</v>
      </c>
      <c r="P16" t="s">
        <v>389</v>
      </c>
      <c r="Q16">
        <v>1</v>
      </c>
      <c r="W16">
        <v>0</v>
      </c>
      <c r="X16">
        <v>476480486</v>
      </c>
      <c r="Y16">
        <v>7.67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1</v>
      </c>
      <c r="AK16">
        <v>1</v>
      </c>
      <c r="AL16">
        <v>1</v>
      </c>
      <c r="AN16">
        <v>0</v>
      </c>
      <c r="AO16">
        <v>1</v>
      </c>
      <c r="AP16">
        <v>0</v>
      </c>
      <c r="AQ16">
        <v>0</v>
      </c>
      <c r="AR16">
        <v>0</v>
      </c>
      <c r="AS16" t="s">
        <v>3</v>
      </c>
      <c r="AT16">
        <v>7.67</v>
      </c>
      <c r="AU16" t="s">
        <v>3</v>
      </c>
      <c r="AV16">
        <v>1</v>
      </c>
      <c r="AW16">
        <v>2</v>
      </c>
      <c r="AX16">
        <v>38800068</v>
      </c>
      <c r="AY16">
        <v>1</v>
      </c>
      <c r="AZ16">
        <v>0</v>
      </c>
      <c r="BA16">
        <v>16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CX16">
        <f>Y16*Source!I37</f>
        <v>6.2587199999999994</v>
      </c>
      <c r="CY16">
        <f>AD16</f>
        <v>0</v>
      </c>
      <c r="CZ16">
        <f>AH16</f>
        <v>0</v>
      </c>
      <c r="DA16">
        <f>AL16</f>
        <v>1</v>
      </c>
      <c r="DB16">
        <f t="shared" si="0"/>
        <v>0</v>
      </c>
      <c r="DC16">
        <f t="shared" si="1"/>
        <v>0</v>
      </c>
    </row>
    <row r="17" spans="1:107" x14ac:dyDescent="0.2">
      <c r="A17">
        <f>ROW(Source!A37)</f>
        <v>37</v>
      </c>
      <c r="B17">
        <v>38799519</v>
      </c>
      <c r="C17">
        <v>38800067</v>
      </c>
      <c r="D17">
        <v>38453717</v>
      </c>
      <c r="E17">
        <v>27</v>
      </c>
      <c r="F17">
        <v>1</v>
      </c>
      <c r="G17">
        <v>27</v>
      </c>
      <c r="H17">
        <v>3</v>
      </c>
      <c r="I17" t="s">
        <v>418</v>
      </c>
      <c r="J17" t="s">
        <v>3</v>
      </c>
      <c r="K17" t="s">
        <v>419</v>
      </c>
      <c r="L17">
        <v>1348</v>
      </c>
      <c r="N17">
        <v>1009</v>
      </c>
      <c r="O17" t="s">
        <v>155</v>
      </c>
      <c r="P17" t="s">
        <v>155</v>
      </c>
      <c r="Q17">
        <v>1000</v>
      </c>
      <c r="W17">
        <v>0</v>
      </c>
      <c r="X17">
        <v>1489638031</v>
      </c>
      <c r="Y17">
        <v>0.7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  <c r="AN17">
        <v>0</v>
      </c>
      <c r="AO17">
        <v>1</v>
      </c>
      <c r="AP17">
        <v>0</v>
      </c>
      <c r="AQ17">
        <v>0</v>
      </c>
      <c r="AR17">
        <v>0</v>
      </c>
      <c r="AS17" t="s">
        <v>3</v>
      </c>
      <c r="AT17">
        <v>0.7</v>
      </c>
      <c r="AU17" t="s">
        <v>3</v>
      </c>
      <c r="AV17">
        <v>0</v>
      </c>
      <c r="AW17">
        <v>2</v>
      </c>
      <c r="AX17">
        <v>38800069</v>
      </c>
      <c r="AY17">
        <v>1</v>
      </c>
      <c r="AZ17">
        <v>0</v>
      </c>
      <c r="BA17">
        <v>17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CX17">
        <f>Y17*Source!I37</f>
        <v>0.57119999999999993</v>
      </c>
      <c r="CY17">
        <f>AA17</f>
        <v>0</v>
      </c>
      <c r="CZ17">
        <f>AE17</f>
        <v>0</v>
      </c>
      <c r="DA17">
        <f>AI17</f>
        <v>1</v>
      </c>
      <c r="DB17">
        <f t="shared" si="0"/>
        <v>0</v>
      </c>
      <c r="DC17">
        <f t="shared" si="1"/>
        <v>0</v>
      </c>
    </row>
    <row r="18" spans="1:107" x14ac:dyDescent="0.2">
      <c r="A18">
        <f>ROW(Source!A38)</f>
        <v>38</v>
      </c>
      <c r="B18">
        <v>38799519</v>
      </c>
      <c r="C18">
        <v>38800072</v>
      </c>
      <c r="D18">
        <v>38451941</v>
      </c>
      <c r="E18">
        <v>27</v>
      </c>
      <c r="F18">
        <v>1</v>
      </c>
      <c r="G18">
        <v>27</v>
      </c>
      <c r="H18">
        <v>1</v>
      </c>
      <c r="I18" t="s">
        <v>387</v>
      </c>
      <c r="J18" t="s">
        <v>3</v>
      </c>
      <c r="K18" t="s">
        <v>388</v>
      </c>
      <c r="L18">
        <v>1191</v>
      </c>
      <c r="N18">
        <v>1013</v>
      </c>
      <c r="O18" t="s">
        <v>389</v>
      </c>
      <c r="P18" t="s">
        <v>389</v>
      </c>
      <c r="Q18">
        <v>1</v>
      </c>
      <c r="W18">
        <v>0</v>
      </c>
      <c r="X18">
        <v>476480486</v>
      </c>
      <c r="Y18">
        <v>53.78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1</v>
      </c>
      <c r="AK18">
        <v>1</v>
      </c>
      <c r="AL18">
        <v>1</v>
      </c>
      <c r="AN18">
        <v>0</v>
      </c>
      <c r="AO18">
        <v>1</v>
      </c>
      <c r="AP18">
        <v>0</v>
      </c>
      <c r="AQ18">
        <v>0</v>
      </c>
      <c r="AR18">
        <v>0</v>
      </c>
      <c r="AS18" t="s">
        <v>3</v>
      </c>
      <c r="AT18">
        <v>53.78</v>
      </c>
      <c r="AU18" t="s">
        <v>3</v>
      </c>
      <c r="AV18">
        <v>1</v>
      </c>
      <c r="AW18">
        <v>2</v>
      </c>
      <c r="AX18">
        <v>38800073</v>
      </c>
      <c r="AY18">
        <v>1</v>
      </c>
      <c r="AZ18">
        <v>0</v>
      </c>
      <c r="BA18">
        <v>18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CX18">
        <f>Y18*Source!I38</f>
        <v>22.533819999999999</v>
      </c>
      <c r="CY18">
        <f>AD18</f>
        <v>0</v>
      </c>
      <c r="CZ18">
        <f>AH18</f>
        <v>0</v>
      </c>
      <c r="DA18">
        <f>AL18</f>
        <v>1</v>
      </c>
      <c r="DB18">
        <f t="shared" si="0"/>
        <v>0</v>
      </c>
      <c r="DC18">
        <f t="shared" si="1"/>
        <v>0</v>
      </c>
    </row>
    <row r="19" spans="1:107" x14ac:dyDescent="0.2">
      <c r="A19">
        <f>ROW(Source!A38)</f>
        <v>38</v>
      </c>
      <c r="B19">
        <v>38799519</v>
      </c>
      <c r="C19">
        <v>38800072</v>
      </c>
      <c r="D19">
        <v>38453717</v>
      </c>
      <c r="E19">
        <v>27</v>
      </c>
      <c r="F19">
        <v>1</v>
      </c>
      <c r="G19">
        <v>27</v>
      </c>
      <c r="H19">
        <v>3</v>
      </c>
      <c r="I19" t="s">
        <v>418</v>
      </c>
      <c r="J19" t="s">
        <v>3</v>
      </c>
      <c r="K19" t="s">
        <v>419</v>
      </c>
      <c r="L19">
        <v>1348</v>
      </c>
      <c r="N19">
        <v>1009</v>
      </c>
      <c r="O19" t="s">
        <v>155</v>
      </c>
      <c r="P19" t="s">
        <v>155</v>
      </c>
      <c r="Q19">
        <v>1000</v>
      </c>
      <c r="W19">
        <v>0</v>
      </c>
      <c r="X19">
        <v>1489638031</v>
      </c>
      <c r="Y19">
        <v>6.01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1</v>
      </c>
      <c r="AL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 t="s">
        <v>3</v>
      </c>
      <c r="AT19">
        <v>6.01</v>
      </c>
      <c r="AU19" t="s">
        <v>3</v>
      </c>
      <c r="AV19">
        <v>0</v>
      </c>
      <c r="AW19">
        <v>2</v>
      </c>
      <c r="AX19">
        <v>38800074</v>
      </c>
      <c r="AY19">
        <v>1</v>
      </c>
      <c r="AZ19">
        <v>0</v>
      </c>
      <c r="BA19">
        <v>19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CX19">
        <f>Y19*Source!I38</f>
        <v>2.5181899999999997</v>
      </c>
      <c r="CY19">
        <f>AA19</f>
        <v>0</v>
      </c>
      <c r="CZ19">
        <f>AE19</f>
        <v>0</v>
      </c>
      <c r="DA19">
        <f>AI19</f>
        <v>1</v>
      </c>
      <c r="DB19">
        <f t="shared" si="0"/>
        <v>0</v>
      </c>
      <c r="DC19">
        <f t="shared" si="1"/>
        <v>0</v>
      </c>
    </row>
    <row r="20" spans="1:107" x14ac:dyDescent="0.2">
      <c r="A20">
        <f>ROW(Source!A74)</f>
        <v>74</v>
      </c>
      <c r="B20">
        <v>38799519</v>
      </c>
      <c r="C20">
        <v>38799724</v>
      </c>
      <c r="D20">
        <v>38451941</v>
      </c>
      <c r="E20">
        <v>27</v>
      </c>
      <c r="F20">
        <v>1</v>
      </c>
      <c r="G20">
        <v>27</v>
      </c>
      <c r="H20">
        <v>1</v>
      </c>
      <c r="I20" t="s">
        <v>387</v>
      </c>
      <c r="J20" t="s">
        <v>3</v>
      </c>
      <c r="K20" t="s">
        <v>388</v>
      </c>
      <c r="L20">
        <v>1191</v>
      </c>
      <c r="N20">
        <v>1013</v>
      </c>
      <c r="O20" t="s">
        <v>389</v>
      </c>
      <c r="P20" t="s">
        <v>389</v>
      </c>
      <c r="Q20">
        <v>1</v>
      </c>
      <c r="W20">
        <v>0</v>
      </c>
      <c r="X20">
        <v>476480486</v>
      </c>
      <c r="Y20">
        <v>221.6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1</v>
      </c>
      <c r="AN20">
        <v>0</v>
      </c>
      <c r="AO20">
        <v>1</v>
      </c>
      <c r="AP20">
        <v>0</v>
      </c>
      <c r="AQ20">
        <v>0</v>
      </c>
      <c r="AR20">
        <v>0</v>
      </c>
      <c r="AS20" t="s">
        <v>3</v>
      </c>
      <c r="AT20">
        <v>221.6</v>
      </c>
      <c r="AU20" t="s">
        <v>3</v>
      </c>
      <c r="AV20">
        <v>1</v>
      </c>
      <c r="AW20">
        <v>2</v>
      </c>
      <c r="AX20">
        <v>38799940</v>
      </c>
      <c r="AY20">
        <v>1</v>
      </c>
      <c r="AZ20">
        <v>0</v>
      </c>
      <c r="BA20">
        <v>20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CX20">
        <f>Y20*Source!I74</f>
        <v>53.183999999999997</v>
      </c>
      <c r="CY20">
        <f>AD20</f>
        <v>0</v>
      </c>
      <c r="CZ20">
        <f>AH20</f>
        <v>0</v>
      </c>
      <c r="DA20">
        <f>AL20</f>
        <v>1</v>
      </c>
      <c r="DB20">
        <f t="shared" si="0"/>
        <v>0</v>
      </c>
      <c r="DC20">
        <f t="shared" si="1"/>
        <v>0</v>
      </c>
    </row>
    <row r="21" spans="1:107" x14ac:dyDescent="0.2">
      <c r="A21">
        <f>ROW(Source!A75)</f>
        <v>75</v>
      </c>
      <c r="B21">
        <v>38799519</v>
      </c>
      <c r="C21">
        <v>38799727</v>
      </c>
      <c r="D21">
        <v>38451941</v>
      </c>
      <c r="E21">
        <v>27</v>
      </c>
      <c r="F21">
        <v>1</v>
      </c>
      <c r="G21">
        <v>27</v>
      </c>
      <c r="H21">
        <v>1</v>
      </c>
      <c r="I21" t="s">
        <v>387</v>
      </c>
      <c r="J21" t="s">
        <v>3</v>
      </c>
      <c r="K21" t="s">
        <v>388</v>
      </c>
      <c r="L21">
        <v>1191</v>
      </c>
      <c r="N21">
        <v>1013</v>
      </c>
      <c r="O21" t="s">
        <v>389</v>
      </c>
      <c r="P21" t="s">
        <v>389</v>
      </c>
      <c r="Q21">
        <v>1</v>
      </c>
      <c r="W21">
        <v>0</v>
      </c>
      <c r="X21">
        <v>476480486</v>
      </c>
      <c r="Y21">
        <v>12.42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1</v>
      </c>
      <c r="AN21">
        <v>0</v>
      </c>
      <c r="AO21">
        <v>1</v>
      </c>
      <c r="AP21">
        <v>0</v>
      </c>
      <c r="AQ21">
        <v>0</v>
      </c>
      <c r="AR21">
        <v>0</v>
      </c>
      <c r="AS21" t="s">
        <v>3</v>
      </c>
      <c r="AT21">
        <v>12.42</v>
      </c>
      <c r="AU21" t="s">
        <v>3</v>
      </c>
      <c r="AV21">
        <v>1</v>
      </c>
      <c r="AW21">
        <v>2</v>
      </c>
      <c r="AX21">
        <v>38799944</v>
      </c>
      <c r="AY21">
        <v>1</v>
      </c>
      <c r="AZ21">
        <v>0</v>
      </c>
      <c r="BA21">
        <v>21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CX21">
        <f>Y21*Source!I75</f>
        <v>2.9807999999999999</v>
      </c>
      <c r="CY21">
        <f>AD21</f>
        <v>0</v>
      </c>
      <c r="CZ21">
        <f>AH21</f>
        <v>0</v>
      </c>
      <c r="DA21">
        <f>AL21</f>
        <v>1</v>
      </c>
      <c r="DB21">
        <f t="shared" si="0"/>
        <v>0</v>
      </c>
      <c r="DC21">
        <f t="shared" si="1"/>
        <v>0</v>
      </c>
    </row>
    <row r="22" spans="1:107" x14ac:dyDescent="0.2">
      <c r="A22">
        <f>ROW(Source!A75)</f>
        <v>75</v>
      </c>
      <c r="B22">
        <v>38799519</v>
      </c>
      <c r="C22">
        <v>38799727</v>
      </c>
      <c r="D22">
        <v>38464567</v>
      </c>
      <c r="E22">
        <v>1</v>
      </c>
      <c r="F22">
        <v>1</v>
      </c>
      <c r="G22">
        <v>27</v>
      </c>
      <c r="H22">
        <v>2</v>
      </c>
      <c r="I22" t="s">
        <v>412</v>
      </c>
      <c r="J22" t="s">
        <v>413</v>
      </c>
      <c r="K22" t="s">
        <v>414</v>
      </c>
      <c r="L22">
        <v>1368</v>
      </c>
      <c r="N22">
        <v>1011</v>
      </c>
      <c r="O22" t="s">
        <v>393</v>
      </c>
      <c r="P22" t="s">
        <v>393</v>
      </c>
      <c r="Q22">
        <v>1</v>
      </c>
      <c r="W22">
        <v>0</v>
      </c>
      <c r="X22">
        <v>734322642</v>
      </c>
      <c r="Y22">
        <v>13.12</v>
      </c>
      <c r="AA22">
        <v>0</v>
      </c>
      <c r="AB22">
        <v>744.2</v>
      </c>
      <c r="AC22">
        <v>423.17</v>
      </c>
      <c r="AD22">
        <v>0</v>
      </c>
      <c r="AE22">
        <v>0</v>
      </c>
      <c r="AF22">
        <v>744.2</v>
      </c>
      <c r="AG22">
        <v>423.17</v>
      </c>
      <c r="AH22">
        <v>0</v>
      </c>
      <c r="AI22">
        <v>1</v>
      </c>
      <c r="AJ22">
        <v>1</v>
      </c>
      <c r="AK22">
        <v>1</v>
      </c>
      <c r="AL22">
        <v>1</v>
      </c>
      <c r="AN22">
        <v>0</v>
      </c>
      <c r="AO22">
        <v>1</v>
      </c>
      <c r="AP22">
        <v>0</v>
      </c>
      <c r="AQ22">
        <v>0</v>
      </c>
      <c r="AR22">
        <v>0</v>
      </c>
      <c r="AS22" t="s">
        <v>3</v>
      </c>
      <c r="AT22">
        <v>13.12</v>
      </c>
      <c r="AU22" t="s">
        <v>3</v>
      </c>
      <c r="AV22">
        <v>0</v>
      </c>
      <c r="AW22">
        <v>2</v>
      </c>
      <c r="AX22">
        <v>38799945</v>
      </c>
      <c r="AY22">
        <v>1</v>
      </c>
      <c r="AZ22">
        <v>0</v>
      </c>
      <c r="BA22">
        <v>22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CX22">
        <f>Y22*Source!I75</f>
        <v>3.1487999999999996</v>
      </c>
      <c r="CY22">
        <f>AB22</f>
        <v>744.2</v>
      </c>
      <c r="CZ22">
        <f>AF22</f>
        <v>744.2</v>
      </c>
      <c r="DA22">
        <f>AJ22</f>
        <v>1</v>
      </c>
      <c r="DB22">
        <f t="shared" si="0"/>
        <v>9763.9</v>
      </c>
      <c r="DC22">
        <f t="shared" si="1"/>
        <v>5551.99</v>
      </c>
    </row>
    <row r="23" spans="1:107" x14ac:dyDescent="0.2">
      <c r="A23">
        <f>ROW(Source!A75)</f>
        <v>75</v>
      </c>
      <c r="B23">
        <v>38799519</v>
      </c>
      <c r="C23">
        <v>38799727</v>
      </c>
      <c r="D23">
        <v>38465034</v>
      </c>
      <c r="E23">
        <v>1</v>
      </c>
      <c r="F23">
        <v>1</v>
      </c>
      <c r="G23">
        <v>27</v>
      </c>
      <c r="H23">
        <v>2</v>
      </c>
      <c r="I23" t="s">
        <v>420</v>
      </c>
      <c r="J23" t="s">
        <v>421</v>
      </c>
      <c r="K23" t="s">
        <v>422</v>
      </c>
      <c r="L23">
        <v>1368</v>
      </c>
      <c r="N23">
        <v>1011</v>
      </c>
      <c r="O23" t="s">
        <v>393</v>
      </c>
      <c r="P23" t="s">
        <v>393</v>
      </c>
      <c r="Q23">
        <v>1</v>
      </c>
      <c r="W23">
        <v>0</v>
      </c>
      <c r="X23">
        <v>-1383996176</v>
      </c>
      <c r="Y23">
        <v>13.12</v>
      </c>
      <c r="AA23">
        <v>0</v>
      </c>
      <c r="AB23">
        <v>3.75</v>
      </c>
      <c r="AC23">
        <v>2.56</v>
      </c>
      <c r="AD23">
        <v>0</v>
      </c>
      <c r="AE23">
        <v>0</v>
      </c>
      <c r="AF23">
        <v>3.75</v>
      </c>
      <c r="AG23">
        <v>2.56</v>
      </c>
      <c r="AH23">
        <v>0</v>
      </c>
      <c r="AI23">
        <v>1</v>
      </c>
      <c r="AJ23">
        <v>1</v>
      </c>
      <c r="AK23">
        <v>1</v>
      </c>
      <c r="AL23">
        <v>1</v>
      </c>
      <c r="AN23">
        <v>0</v>
      </c>
      <c r="AO23">
        <v>1</v>
      </c>
      <c r="AP23">
        <v>0</v>
      </c>
      <c r="AQ23">
        <v>0</v>
      </c>
      <c r="AR23">
        <v>0</v>
      </c>
      <c r="AS23" t="s">
        <v>3</v>
      </c>
      <c r="AT23">
        <v>13.12</v>
      </c>
      <c r="AU23" t="s">
        <v>3</v>
      </c>
      <c r="AV23">
        <v>0</v>
      </c>
      <c r="AW23">
        <v>2</v>
      </c>
      <c r="AX23">
        <v>38799946</v>
      </c>
      <c r="AY23">
        <v>1</v>
      </c>
      <c r="AZ23">
        <v>0</v>
      </c>
      <c r="BA23">
        <v>23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CX23">
        <f>Y23*Source!I75</f>
        <v>3.1487999999999996</v>
      </c>
      <c r="CY23">
        <f>AB23</f>
        <v>3.75</v>
      </c>
      <c r="CZ23">
        <f>AF23</f>
        <v>3.75</v>
      </c>
      <c r="DA23">
        <f>AJ23</f>
        <v>1</v>
      </c>
      <c r="DB23">
        <f t="shared" si="0"/>
        <v>49.2</v>
      </c>
      <c r="DC23">
        <f t="shared" si="1"/>
        <v>33.590000000000003</v>
      </c>
    </row>
    <row r="24" spans="1:107" x14ac:dyDescent="0.2">
      <c r="A24">
        <f>ROW(Source!A76)</f>
        <v>76</v>
      </c>
      <c r="B24">
        <v>38799519</v>
      </c>
      <c r="C24">
        <v>38799734</v>
      </c>
      <c r="D24">
        <v>38451941</v>
      </c>
      <c r="E24">
        <v>27</v>
      </c>
      <c r="F24">
        <v>1</v>
      </c>
      <c r="G24">
        <v>27</v>
      </c>
      <c r="H24">
        <v>1</v>
      </c>
      <c r="I24" t="s">
        <v>387</v>
      </c>
      <c r="J24" t="s">
        <v>3</v>
      </c>
      <c r="K24" t="s">
        <v>388</v>
      </c>
      <c r="L24">
        <v>1191</v>
      </c>
      <c r="N24">
        <v>1013</v>
      </c>
      <c r="O24" t="s">
        <v>389</v>
      </c>
      <c r="P24" t="s">
        <v>389</v>
      </c>
      <c r="Q24">
        <v>1</v>
      </c>
      <c r="W24">
        <v>0</v>
      </c>
      <c r="X24">
        <v>476480486</v>
      </c>
      <c r="Y24">
        <v>3.44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1</v>
      </c>
      <c r="AN24">
        <v>0</v>
      </c>
      <c r="AO24">
        <v>1</v>
      </c>
      <c r="AP24">
        <v>0</v>
      </c>
      <c r="AQ24">
        <v>0</v>
      </c>
      <c r="AR24">
        <v>0</v>
      </c>
      <c r="AS24" t="s">
        <v>3</v>
      </c>
      <c r="AT24">
        <v>3.44</v>
      </c>
      <c r="AU24" t="s">
        <v>3</v>
      </c>
      <c r="AV24">
        <v>1</v>
      </c>
      <c r="AW24">
        <v>2</v>
      </c>
      <c r="AX24">
        <v>38799947</v>
      </c>
      <c r="AY24">
        <v>1</v>
      </c>
      <c r="AZ24">
        <v>0</v>
      </c>
      <c r="BA24">
        <v>24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CX24">
        <f>Y24*Source!I76</f>
        <v>66.048000000000002</v>
      </c>
      <c r="CY24">
        <f>AD24</f>
        <v>0</v>
      </c>
      <c r="CZ24">
        <f>AH24</f>
        <v>0</v>
      </c>
      <c r="DA24">
        <f>AL24</f>
        <v>1</v>
      </c>
      <c r="DB24">
        <f t="shared" si="0"/>
        <v>0</v>
      </c>
      <c r="DC24">
        <f t="shared" si="1"/>
        <v>0</v>
      </c>
    </row>
    <row r="25" spans="1:107" x14ac:dyDescent="0.2">
      <c r="A25">
        <f>ROW(Source!A76)</f>
        <v>76</v>
      </c>
      <c r="B25">
        <v>38799519</v>
      </c>
      <c r="C25">
        <v>38799734</v>
      </c>
      <c r="D25">
        <v>38464567</v>
      </c>
      <c r="E25">
        <v>1</v>
      </c>
      <c r="F25">
        <v>1</v>
      </c>
      <c r="G25">
        <v>27</v>
      </c>
      <c r="H25">
        <v>2</v>
      </c>
      <c r="I25" t="s">
        <v>412</v>
      </c>
      <c r="J25" t="s">
        <v>413</v>
      </c>
      <c r="K25" t="s">
        <v>414</v>
      </c>
      <c r="L25">
        <v>1368</v>
      </c>
      <c r="N25">
        <v>1011</v>
      </c>
      <c r="O25" t="s">
        <v>393</v>
      </c>
      <c r="P25" t="s">
        <v>393</v>
      </c>
      <c r="Q25">
        <v>1</v>
      </c>
      <c r="W25">
        <v>0</v>
      </c>
      <c r="X25">
        <v>734322642</v>
      </c>
      <c r="Y25">
        <v>0.38</v>
      </c>
      <c r="AA25">
        <v>0</v>
      </c>
      <c r="AB25">
        <v>744.2</v>
      </c>
      <c r="AC25">
        <v>423.17</v>
      </c>
      <c r="AD25">
        <v>0</v>
      </c>
      <c r="AE25">
        <v>0</v>
      </c>
      <c r="AF25">
        <v>744.2</v>
      </c>
      <c r="AG25">
        <v>423.17</v>
      </c>
      <c r="AH25">
        <v>0</v>
      </c>
      <c r="AI25">
        <v>1</v>
      </c>
      <c r="AJ25">
        <v>1</v>
      </c>
      <c r="AK25">
        <v>1</v>
      </c>
      <c r="AL25">
        <v>1</v>
      </c>
      <c r="AN25">
        <v>0</v>
      </c>
      <c r="AO25">
        <v>1</v>
      </c>
      <c r="AP25">
        <v>0</v>
      </c>
      <c r="AQ25">
        <v>0</v>
      </c>
      <c r="AR25">
        <v>0</v>
      </c>
      <c r="AS25" t="s">
        <v>3</v>
      </c>
      <c r="AT25">
        <v>0.38</v>
      </c>
      <c r="AU25" t="s">
        <v>3</v>
      </c>
      <c r="AV25">
        <v>0</v>
      </c>
      <c r="AW25">
        <v>2</v>
      </c>
      <c r="AX25">
        <v>38799948</v>
      </c>
      <c r="AY25">
        <v>1</v>
      </c>
      <c r="AZ25">
        <v>0</v>
      </c>
      <c r="BA25">
        <v>25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CX25">
        <f>Y25*Source!I76</f>
        <v>7.2959999999999994</v>
      </c>
      <c r="CY25">
        <f>AB25</f>
        <v>744.2</v>
      </c>
      <c r="CZ25">
        <f>AF25</f>
        <v>744.2</v>
      </c>
      <c r="DA25">
        <f>AJ25</f>
        <v>1</v>
      </c>
      <c r="DB25">
        <f t="shared" si="0"/>
        <v>282.8</v>
      </c>
      <c r="DC25">
        <f t="shared" si="1"/>
        <v>160.80000000000001</v>
      </c>
    </row>
    <row r="26" spans="1:107" x14ac:dyDescent="0.2">
      <c r="A26">
        <f>ROW(Source!A76)</f>
        <v>76</v>
      </c>
      <c r="B26">
        <v>38799519</v>
      </c>
      <c r="C26">
        <v>38799734</v>
      </c>
      <c r="D26">
        <v>38465034</v>
      </c>
      <c r="E26">
        <v>1</v>
      </c>
      <c r="F26">
        <v>1</v>
      </c>
      <c r="G26">
        <v>27</v>
      </c>
      <c r="H26">
        <v>2</v>
      </c>
      <c r="I26" t="s">
        <v>420</v>
      </c>
      <c r="J26" t="s">
        <v>421</v>
      </c>
      <c r="K26" t="s">
        <v>422</v>
      </c>
      <c r="L26">
        <v>1368</v>
      </c>
      <c r="N26">
        <v>1011</v>
      </c>
      <c r="O26" t="s">
        <v>393</v>
      </c>
      <c r="P26" t="s">
        <v>393</v>
      </c>
      <c r="Q26">
        <v>1</v>
      </c>
      <c r="W26">
        <v>0</v>
      </c>
      <c r="X26">
        <v>-1383996176</v>
      </c>
      <c r="Y26">
        <v>0.38</v>
      </c>
      <c r="AA26">
        <v>0</v>
      </c>
      <c r="AB26">
        <v>3.75</v>
      </c>
      <c r="AC26">
        <v>2.56</v>
      </c>
      <c r="AD26">
        <v>0</v>
      </c>
      <c r="AE26">
        <v>0</v>
      </c>
      <c r="AF26">
        <v>3.75</v>
      </c>
      <c r="AG26">
        <v>2.56</v>
      </c>
      <c r="AH26">
        <v>0</v>
      </c>
      <c r="AI26">
        <v>1</v>
      </c>
      <c r="AJ26">
        <v>1</v>
      </c>
      <c r="AK26">
        <v>1</v>
      </c>
      <c r="AL26">
        <v>1</v>
      </c>
      <c r="AN26">
        <v>0</v>
      </c>
      <c r="AO26">
        <v>1</v>
      </c>
      <c r="AP26">
        <v>0</v>
      </c>
      <c r="AQ26">
        <v>0</v>
      </c>
      <c r="AR26">
        <v>0</v>
      </c>
      <c r="AS26" t="s">
        <v>3</v>
      </c>
      <c r="AT26">
        <v>0.38</v>
      </c>
      <c r="AU26" t="s">
        <v>3</v>
      </c>
      <c r="AV26">
        <v>0</v>
      </c>
      <c r="AW26">
        <v>2</v>
      </c>
      <c r="AX26">
        <v>38799949</v>
      </c>
      <c r="AY26">
        <v>1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CX26">
        <f>Y26*Source!I76</f>
        <v>7.2959999999999994</v>
      </c>
      <c r="CY26">
        <f>AB26</f>
        <v>3.75</v>
      </c>
      <c r="CZ26">
        <f>AF26</f>
        <v>3.75</v>
      </c>
      <c r="DA26">
        <f>AJ26</f>
        <v>1</v>
      </c>
      <c r="DB26">
        <f t="shared" si="0"/>
        <v>1.43</v>
      </c>
      <c r="DC26">
        <f t="shared" si="1"/>
        <v>0.97</v>
      </c>
    </row>
    <row r="27" spans="1:107" x14ac:dyDescent="0.2">
      <c r="A27">
        <f>ROW(Source!A76)</f>
        <v>76</v>
      </c>
      <c r="B27">
        <v>38799519</v>
      </c>
      <c r="C27">
        <v>38799734</v>
      </c>
      <c r="D27">
        <v>38466366</v>
      </c>
      <c r="E27">
        <v>1</v>
      </c>
      <c r="F27">
        <v>1</v>
      </c>
      <c r="G27">
        <v>27</v>
      </c>
      <c r="H27">
        <v>3</v>
      </c>
      <c r="I27" t="s">
        <v>423</v>
      </c>
      <c r="J27" t="s">
        <v>424</v>
      </c>
      <c r="K27" t="s">
        <v>425</v>
      </c>
      <c r="L27">
        <v>1339</v>
      </c>
      <c r="N27">
        <v>1007</v>
      </c>
      <c r="O27" t="s">
        <v>35</v>
      </c>
      <c r="P27" t="s">
        <v>35</v>
      </c>
      <c r="Q27">
        <v>1</v>
      </c>
      <c r="W27">
        <v>0</v>
      </c>
      <c r="X27">
        <v>-1662970571</v>
      </c>
      <c r="Y27">
        <v>1.1200000000000001</v>
      </c>
      <c r="AA27">
        <v>590.78</v>
      </c>
      <c r="AB27">
        <v>0</v>
      </c>
      <c r="AC27">
        <v>0</v>
      </c>
      <c r="AD27">
        <v>0</v>
      </c>
      <c r="AE27">
        <v>590.78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1</v>
      </c>
      <c r="AL27">
        <v>1</v>
      </c>
      <c r="AN27">
        <v>0</v>
      </c>
      <c r="AO27">
        <v>1</v>
      </c>
      <c r="AP27">
        <v>0</v>
      </c>
      <c r="AQ27">
        <v>0</v>
      </c>
      <c r="AR27">
        <v>0</v>
      </c>
      <c r="AS27" t="s">
        <v>3</v>
      </c>
      <c r="AT27">
        <v>1.1200000000000001</v>
      </c>
      <c r="AU27" t="s">
        <v>3</v>
      </c>
      <c r="AV27">
        <v>0</v>
      </c>
      <c r="AW27">
        <v>2</v>
      </c>
      <c r="AX27">
        <v>38799950</v>
      </c>
      <c r="AY27">
        <v>1</v>
      </c>
      <c r="AZ27">
        <v>0</v>
      </c>
      <c r="BA27">
        <v>27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CX27">
        <f>Y27*Source!I76</f>
        <v>21.504000000000001</v>
      </c>
      <c r="CY27">
        <f>AA27</f>
        <v>590.78</v>
      </c>
      <c r="CZ27">
        <f>AE27</f>
        <v>590.78</v>
      </c>
      <c r="DA27">
        <f>AI27</f>
        <v>1</v>
      </c>
      <c r="DB27">
        <f t="shared" si="0"/>
        <v>661.67</v>
      </c>
      <c r="DC27">
        <f t="shared" si="1"/>
        <v>0</v>
      </c>
    </row>
    <row r="28" spans="1:107" x14ac:dyDescent="0.2">
      <c r="A28">
        <f>ROW(Source!A77)</f>
        <v>77</v>
      </c>
      <c r="B28">
        <v>38799519</v>
      </c>
      <c r="C28">
        <v>38799743</v>
      </c>
      <c r="D28">
        <v>38451941</v>
      </c>
      <c r="E28">
        <v>27</v>
      </c>
      <c r="F28">
        <v>1</v>
      </c>
      <c r="G28">
        <v>27</v>
      </c>
      <c r="H28">
        <v>1</v>
      </c>
      <c r="I28" t="s">
        <v>387</v>
      </c>
      <c r="J28" t="s">
        <v>3</v>
      </c>
      <c r="K28" t="s">
        <v>388</v>
      </c>
      <c r="L28">
        <v>1191</v>
      </c>
      <c r="N28">
        <v>1013</v>
      </c>
      <c r="O28" t="s">
        <v>389</v>
      </c>
      <c r="P28" t="s">
        <v>389</v>
      </c>
      <c r="Q28">
        <v>1</v>
      </c>
      <c r="W28">
        <v>0</v>
      </c>
      <c r="X28">
        <v>476480486</v>
      </c>
      <c r="Y28">
        <v>1.1499999999999999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1</v>
      </c>
      <c r="AK28">
        <v>1</v>
      </c>
      <c r="AL28">
        <v>1</v>
      </c>
      <c r="AN28">
        <v>0</v>
      </c>
      <c r="AO28">
        <v>1</v>
      </c>
      <c r="AP28">
        <v>0</v>
      </c>
      <c r="AQ28">
        <v>0</v>
      </c>
      <c r="AR28">
        <v>0</v>
      </c>
      <c r="AS28" t="s">
        <v>3</v>
      </c>
      <c r="AT28">
        <v>1.1499999999999999</v>
      </c>
      <c r="AU28" t="s">
        <v>3</v>
      </c>
      <c r="AV28">
        <v>1</v>
      </c>
      <c r="AW28">
        <v>2</v>
      </c>
      <c r="AX28">
        <v>38799951</v>
      </c>
      <c r="AY28">
        <v>1</v>
      </c>
      <c r="AZ28">
        <v>0</v>
      </c>
      <c r="BA28">
        <v>28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CX28">
        <f>Y28*Source!I77</f>
        <v>64.399999999999991</v>
      </c>
      <c r="CY28">
        <f>AD28</f>
        <v>0</v>
      </c>
      <c r="CZ28">
        <f>AH28</f>
        <v>0</v>
      </c>
      <c r="DA28">
        <f>AL28</f>
        <v>1</v>
      </c>
      <c r="DB28">
        <f t="shared" si="0"/>
        <v>0</v>
      </c>
      <c r="DC28">
        <f t="shared" si="1"/>
        <v>0</v>
      </c>
    </row>
    <row r="29" spans="1:107" x14ac:dyDescent="0.2">
      <c r="A29">
        <f>ROW(Source!A77)</f>
        <v>77</v>
      </c>
      <c r="B29">
        <v>38799519</v>
      </c>
      <c r="C29">
        <v>38799743</v>
      </c>
      <c r="D29">
        <v>38465314</v>
      </c>
      <c r="E29">
        <v>1</v>
      </c>
      <c r="F29">
        <v>1</v>
      </c>
      <c r="G29">
        <v>27</v>
      </c>
      <c r="H29">
        <v>3</v>
      </c>
      <c r="I29" t="s">
        <v>426</v>
      </c>
      <c r="J29" t="s">
        <v>427</v>
      </c>
      <c r="K29" t="s">
        <v>428</v>
      </c>
      <c r="L29">
        <v>1348</v>
      </c>
      <c r="N29">
        <v>1009</v>
      </c>
      <c r="O29" t="s">
        <v>155</v>
      </c>
      <c r="P29" t="s">
        <v>155</v>
      </c>
      <c r="Q29">
        <v>1000</v>
      </c>
      <c r="W29">
        <v>0</v>
      </c>
      <c r="X29">
        <v>213373920</v>
      </c>
      <c r="Y29">
        <v>4.4000000000000003E-3</v>
      </c>
      <c r="AA29">
        <v>4207.5</v>
      </c>
      <c r="AB29">
        <v>0</v>
      </c>
      <c r="AC29">
        <v>0</v>
      </c>
      <c r="AD29">
        <v>0</v>
      </c>
      <c r="AE29">
        <v>4207.5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N29">
        <v>0</v>
      </c>
      <c r="AO29">
        <v>1</v>
      </c>
      <c r="AP29">
        <v>0</v>
      </c>
      <c r="AQ29">
        <v>0</v>
      </c>
      <c r="AR29">
        <v>0</v>
      </c>
      <c r="AS29" t="s">
        <v>3</v>
      </c>
      <c r="AT29">
        <v>4.4000000000000003E-3</v>
      </c>
      <c r="AU29" t="s">
        <v>3</v>
      </c>
      <c r="AV29">
        <v>0</v>
      </c>
      <c r="AW29">
        <v>2</v>
      </c>
      <c r="AX29">
        <v>38799952</v>
      </c>
      <c r="AY29">
        <v>1</v>
      </c>
      <c r="AZ29">
        <v>0</v>
      </c>
      <c r="BA29">
        <v>29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CX29">
        <f>Y29*Source!I77</f>
        <v>0.24640000000000001</v>
      </c>
      <c r="CY29">
        <f>AA29</f>
        <v>4207.5</v>
      </c>
      <c r="CZ29">
        <f>AE29</f>
        <v>4207.5</v>
      </c>
      <c r="DA29">
        <f>AI29</f>
        <v>1</v>
      </c>
      <c r="DB29">
        <f t="shared" si="0"/>
        <v>18.510000000000002</v>
      </c>
      <c r="DC29">
        <f t="shared" si="1"/>
        <v>0</v>
      </c>
    </row>
    <row r="30" spans="1:107" x14ac:dyDescent="0.2">
      <c r="A30">
        <f>ROW(Source!A77)</f>
        <v>77</v>
      </c>
      <c r="B30">
        <v>38799519</v>
      </c>
      <c r="C30">
        <v>38799743</v>
      </c>
      <c r="D30">
        <v>38468080</v>
      </c>
      <c r="E30">
        <v>1</v>
      </c>
      <c r="F30">
        <v>1</v>
      </c>
      <c r="G30">
        <v>27</v>
      </c>
      <c r="H30">
        <v>3</v>
      </c>
      <c r="I30" t="s">
        <v>429</v>
      </c>
      <c r="J30" t="s">
        <v>430</v>
      </c>
      <c r="K30" t="s">
        <v>431</v>
      </c>
      <c r="L30">
        <v>1339</v>
      </c>
      <c r="N30">
        <v>1007</v>
      </c>
      <c r="O30" t="s">
        <v>35</v>
      </c>
      <c r="P30" t="s">
        <v>35</v>
      </c>
      <c r="Q30">
        <v>1</v>
      </c>
      <c r="W30">
        <v>0</v>
      </c>
      <c r="X30">
        <v>-697630842</v>
      </c>
      <c r="Y30">
        <v>7.5999999999999998E-2</v>
      </c>
      <c r="AA30">
        <v>3714.73</v>
      </c>
      <c r="AB30">
        <v>0</v>
      </c>
      <c r="AC30">
        <v>0</v>
      </c>
      <c r="AD30">
        <v>0</v>
      </c>
      <c r="AE30">
        <v>3714.73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1</v>
      </c>
      <c r="AL30">
        <v>1</v>
      </c>
      <c r="AN30">
        <v>0</v>
      </c>
      <c r="AO30">
        <v>1</v>
      </c>
      <c r="AP30">
        <v>0</v>
      </c>
      <c r="AQ30">
        <v>0</v>
      </c>
      <c r="AR30">
        <v>0</v>
      </c>
      <c r="AS30" t="s">
        <v>3</v>
      </c>
      <c r="AT30">
        <v>7.5999999999999998E-2</v>
      </c>
      <c r="AU30" t="s">
        <v>3</v>
      </c>
      <c r="AV30">
        <v>0</v>
      </c>
      <c r="AW30">
        <v>2</v>
      </c>
      <c r="AX30">
        <v>38799953</v>
      </c>
      <c r="AY30">
        <v>1</v>
      </c>
      <c r="AZ30">
        <v>0</v>
      </c>
      <c r="BA30">
        <v>30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CX30">
        <f>Y30*Source!I77</f>
        <v>4.2560000000000002</v>
      </c>
      <c r="CY30">
        <f>AA30</f>
        <v>3714.73</v>
      </c>
      <c r="CZ30">
        <f>AE30</f>
        <v>3714.73</v>
      </c>
      <c r="DA30">
        <f>AI30</f>
        <v>1</v>
      </c>
      <c r="DB30">
        <f t="shared" si="0"/>
        <v>282.32</v>
      </c>
      <c r="DC30">
        <f t="shared" si="1"/>
        <v>0</v>
      </c>
    </row>
    <row r="31" spans="1:107" x14ac:dyDescent="0.2">
      <c r="A31">
        <f>ROW(Source!A77)</f>
        <v>77</v>
      </c>
      <c r="B31">
        <v>38799519</v>
      </c>
      <c r="C31">
        <v>38799743</v>
      </c>
      <c r="D31">
        <v>38468893</v>
      </c>
      <c r="E31">
        <v>1</v>
      </c>
      <c r="F31">
        <v>1</v>
      </c>
      <c r="G31">
        <v>27</v>
      </c>
      <c r="H31">
        <v>3</v>
      </c>
      <c r="I31" t="s">
        <v>124</v>
      </c>
      <c r="J31" t="s">
        <v>126</v>
      </c>
      <c r="K31" t="s">
        <v>125</v>
      </c>
      <c r="L31">
        <v>1339</v>
      </c>
      <c r="N31">
        <v>1007</v>
      </c>
      <c r="O31" t="s">
        <v>35</v>
      </c>
      <c r="P31" t="s">
        <v>35</v>
      </c>
      <c r="Q31">
        <v>1</v>
      </c>
      <c r="W31">
        <v>0</v>
      </c>
      <c r="X31">
        <v>858864401</v>
      </c>
      <c r="Y31">
        <v>1.2500000000000001E-2</v>
      </c>
      <c r="AA31">
        <v>9014.9</v>
      </c>
      <c r="AB31">
        <v>0</v>
      </c>
      <c r="AC31">
        <v>0</v>
      </c>
      <c r="AD31">
        <v>0</v>
      </c>
      <c r="AE31">
        <v>9014.9</v>
      </c>
      <c r="AF31">
        <v>0</v>
      </c>
      <c r="AG31">
        <v>0</v>
      </c>
      <c r="AH31">
        <v>0</v>
      </c>
      <c r="AI31">
        <v>1</v>
      </c>
      <c r="AJ31">
        <v>1</v>
      </c>
      <c r="AK31">
        <v>1</v>
      </c>
      <c r="AL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 t="s">
        <v>3</v>
      </c>
      <c r="AT31">
        <v>1.2500000000000001E-2</v>
      </c>
      <c r="AU31" t="s">
        <v>3</v>
      </c>
      <c r="AV31">
        <v>0</v>
      </c>
      <c r="AW31">
        <v>1</v>
      </c>
      <c r="AX31">
        <v>-1</v>
      </c>
      <c r="AY31">
        <v>0</v>
      </c>
      <c r="AZ31">
        <v>0</v>
      </c>
      <c r="BA31" t="s">
        <v>3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CX31">
        <f>Y31*Source!I77</f>
        <v>0.70000000000000007</v>
      </c>
      <c r="CY31">
        <f>AA31</f>
        <v>9014.9</v>
      </c>
      <c r="CZ31">
        <f>AE31</f>
        <v>9014.9</v>
      </c>
      <c r="DA31">
        <f>AI31</f>
        <v>1</v>
      </c>
      <c r="DB31">
        <f t="shared" si="0"/>
        <v>112.69</v>
      </c>
      <c r="DC31">
        <f t="shared" si="1"/>
        <v>0</v>
      </c>
    </row>
    <row r="32" spans="1:107" x14ac:dyDescent="0.2">
      <c r="A32">
        <f>ROW(Source!A79)</f>
        <v>79</v>
      </c>
      <c r="B32">
        <v>38799519</v>
      </c>
      <c r="C32">
        <v>38799752</v>
      </c>
      <c r="D32">
        <v>38451941</v>
      </c>
      <c r="E32">
        <v>27</v>
      </c>
      <c r="F32">
        <v>1</v>
      </c>
      <c r="G32">
        <v>27</v>
      </c>
      <c r="H32">
        <v>1</v>
      </c>
      <c r="I32" t="s">
        <v>387</v>
      </c>
      <c r="J32" t="s">
        <v>3</v>
      </c>
      <c r="K32" t="s">
        <v>388</v>
      </c>
      <c r="L32">
        <v>1191</v>
      </c>
      <c r="N32">
        <v>1013</v>
      </c>
      <c r="O32" t="s">
        <v>389</v>
      </c>
      <c r="P32" t="s">
        <v>389</v>
      </c>
      <c r="Q32">
        <v>1</v>
      </c>
      <c r="W32">
        <v>0</v>
      </c>
      <c r="X32">
        <v>476480486</v>
      </c>
      <c r="Y32">
        <v>3.73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1</v>
      </c>
      <c r="AK32">
        <v>1</v>
      </c>
      <c r="AL32">
        <v>1</v>
      </c>
      <c r="AN32">
        <v>0</v>
      </c>
      <c r="AO32">
        <v>1</v>
      </c>
      <c r="AP32">
        <v>0</v>
      </c>
      <c r="AQ32">
        <v>0</v>
      </c>
      <c r="AR32">
        <v>0</v>
      </c>
      <c r="AS32" t="s">
        <v>3</v>
      </c>
      <c r="AT32">
        <v>3.73</v>
      </c>
      <c r="AU32" t="s">
        <v>3</v>
      </c>
      <c r="AV32">
        <v>1</v>
      </c>
      <c r="AW32">
        <v>2</v>
      </c>
      <c r="AX32">
        <v>38799956</v>
      </c>
      <c r="AY32">
        <v>1</v>
      </c>
      <c r="AZ32">
        <v>0</v>
      </c>
      <c r="BA32">
        <v>31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CX32">
        <f>Y32*Source!I79</f>
        <v>53.712000000000003</v>
      </c>
      <c r="CY32">
        <f>AD32</f>
        <v>0</v>
      </c>
      <c r="CZ32">
        <f>AH32</f>
        <v>0</v>
      </c>
      <c r="DA32">
        <f>AL32</f>
        <v>1</v>
      </c>
      <c r="DB32">
        <f t="shared" si="0"/>
        <v>0</v>
      </c>
      <c r="DC32">
        <f t="shared" si="1"/>
        <v>0</v>
      </c>
    </row>
    <row r="33" spans="1:107" x14ac:dyDescent="0.2">
      <c r="A33">
        <f>ROW(Source!A79)</f>
        <v>79</v>
      </c>
      <c r="B33">
        <v>38799519</v>
      </c>
      <c r="C33">
        <v>38799752</v>
      </c>
      <c r="D33">
        <v>38464567</v>
      </c>
      <c r="E33">
        <v>1</v>
      </c>
      <c r="F33">
        <v>1</v>
      </c>
      <c r="G33">
        <v>27</v>
      </c>
      <c r="H33">
        <v>2</v>
      </c>
      <c r="I33" t="s">
        <v>412</v>
      </c>
      <c r="J33" t="s">
        <v>413</v>
      </c>
      <c r="K33" t="s">
        <v>414</v>
      </c>
      <c r="L33">
        <v>1368</v>
      </c>
      <c r="N33">
        <v>1011</v>
      </c>
      <c r="O33" t="s">
        <v>393</v>
      </c>
      <c r="P33" t="s">
        <v>393</v>
      </c>
      <c r="Q33">
        <v>1</v>
      </c>
      <c r="W33">
        <v>0</v>
      </c>
      <c r="X33">
        <v>734322642</v>
      </c>
      <c r="Y33">
        <v>1.49</v>
      </c>
      <c r="AA33">
        <v>0</v>
      </c>
      <c r="AB33">
        <v>744.2</v>
      </c>
      <c r="AC33">
        <v>423.17</v>
      </c>
      <c r="AD33">
        <v>0</v>
      </c>
      <c r="AE33">
        <v>0</v>
      </c>
      <c r="AF33">
        <v>744.2</v>
      </c>
      <c r="AG33">
        <v>423.17</v>
      </c>
      <c r="AH33">
        <v>0</v>
      </c>
      <c r="AI33">
        <v>1</v>
      </c>
      <c r="AJ33">
        <v>1</v>
      </c>
      <c r="AK33">
        <v>1</v>
      </c>
      <c r="AL33">
        <v>1</v>
      </c>
      <c r="AN33">
        <v>0</v>
      </c>
      <c r="AO33">
        <v>1</v>
      </c>
      <c r="AP33">
        <v>0</v>
      </c>
      <c r="AQ33">
        <v>0</v>
      </c>
      <c r="AR33">
        <v>0</v>
      </c>
      <c r="AS33" t="s">
        <v>3</v>
      </c>
      <c r="AT33">
        <v>1.49</v>
      </c>
      <c r="AU33" t="s">
        <v>3</v>
      </c>
      <c r="AV33">
        <v>0</v>
      </c>
      <c r="AW33">
        <v>2</v>
      </c>
      <c r="AX33">
        <v>38799957</v>
      </c>
      <c r="AY33">
        <v>1</v>
      </c>
      <c r="AZ33">
        <v>0</v>
      </c>
      <c r="BA33">
        <v>32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CX33">
        <f>Y33*Source!I79</f>
        <v>21.456</v>
      </c>
      <c r="CY33">
        <f>AB33</f>
        <v>744.2</v>
      </c>
      <c r="CZ33">
        <f>AF33</f>
        <v>744.2</v>
      </c>
      <c r="DA33">
        <f>AJ33</f>
        <v>1</v>
      </c>
      <c r="DB33">
        <f t="shared" si="0"/>
        <v>1108.8599999999999</v>
      </c>
      <c r="DC33">
        <f t="shared" si="1"/>
        <v>630.52</v>
      </c>
    </row>
    <row r="34" spans="1:107" x14ac:dyDescent="0.2">
      <c r="A34">
        <f>ROW(Source!A79)</f>
        <v>79</v>
      </c>
      <c r="B34">
        <v>38799519</v>
      </c>
      <c r="C34">
        <v>38799752</v>
      </c>
      <c r="D34">
        <v>38465034</v>
      </c>
      <c r="E34">
        <v>1</v>
      </c>
      <c r="F34">
        <v>1</v>
      </c>
      <c r="G34">
        <v>27</v>
      </c>
      <c r="H34">
        <v>2</v>
      </c>
      <c r="I34" t="s">
        <v>420</v>
      </c>
      <c r="J34" t="s">
        <v>421</v>
      </c>
      <c r="K34" t="s">
        <v>422</v>
      </c>
      <c r="L34">
        <v>1368</v>
      </c>
      <c r="N34">
        <v>1011</v>
      </c>
      <c r="O34" t="s">
        <v>393</v>
      </c>
      <c r="P34" t="s">
        <v>393</v>
      </c>
      <c r="Q34">
        <v>1</v>
      </c>
      <c r="W34">
        <v>0</v>
      </c>
      <c r="X34">
        <v>-1383996176</v>
      </c>
      <c r="Y34">
        <v>1.49</v>
      </c>
      <c r="AA34">
        <v>0</v>
      </c>
      <c r="AB34">
        <v>3.75</v>
      </c>
      <c r="AC34">
        <v>2.56</v>
      </c>
      <c r="AD34">
        <v>0</v>
      </c>
      <c r="AE34">
        <v>0</v>
      </c>
      <c r="AF34">
        <v>3.75</v>
      </c>
      <c r="AG34">
        <v>2.56</v>
      </c>
      <c r="AH34">
        <v>0</v>
      </c>
      <c r="AI34">
        <v>1</v>
      </c>
      <c r="AJ34">
        <v>1</v>
      </c>
      <c r="AK34">
        <v>1</v>
      </c>
      <c r="AL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 t="s">
        <v>3</v>
      </c>
      <c r="AT34">
        <v>1.49</v>
      </c>
      <c r="AU34" t="s">
        <v>3</v>
      </c>
      <c r="AV34">
        <v>0</v>
      </c>
      <c r="AW34">
        <v>2</v>
      </c>
      <c r="AX34">
        <v>38799958</v>
      </c>
      <c r="AY34">
        <v>1</v>
      </c>
      <c r="AZ34">
        <v>0</v>
      </c>
      <c r="BA34">
        <v>33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CX34">
        <f>Y34*Source!I79</f>
        <v>21.456</v>
      </c>
      <c r="CY34">
        <f>AB34</f>
        <v>3.75</v>
      </c>
      <c r="CZ34">
        <f>AF34</f>
        <v>3.75</v>
      </c>
      <c r="DA34">
        <f>AJ34</f>
        <v>1</v>
      </c>
      <c r="DB34">
        <f t="shared" si="0"/>
        <v>5.59</v>
      </c>
      <c r="DC34">
        <f t="shared" si="1"/>
        <v>3.81</v>
      </c>
    </row>
    <row r="35" spans="1:107" x14ac:dyDescent="0.2">
      <c r="A35">
        <f>ROW(Source!A79)</f>
        <v>79</v>
      </c>
      <c r="B35">
        <v>38799519</v>
      </c>
      <c r="C35">
        <v>38799752</v>
      </c>
      <c r="D35">
        <v>38466379</v>
      </c>
      <c r="E35">
        <v>1</v>
      </c>
      <c r="F35">
        <v>1</v>
      </c>
      <c r="G35">
        <v>27</v>
      </c>
      <c r="H35">
        <v>3</v>
      </c>
      <c r="I35" t="s">
        <v>432</v>
      </c>
      <c r="J35" t="s">
        <v>433</v>
      </c>
      <c r="K35" t="s">
        <v>434</v>
      </c>
      <c r="L35">
        <v>1339</v>
      </c>
      <c r="N35">
        <v>1007</v>
      </c>
      <c r="O35" t="s">
        <v>35</v>
      </c>
      <c r="P35" t="s">
        <v>35</v>
      </c>
      <c r="Q35">
        <v>1</v>
      </c>
      <c r="W35">
        <v>0</v>
      </c>
      <c r="X35">
        <v>-1397951900</v>
      </c>
      <c r="Y35">
        <v>0.18</v>
      </c>
      <c r="AA35">
        <v>1436.5</v>
      </c>
      <c r="AB35">
        <v>0</v>
      </c>
      <c r="AC35">
        <v>0</v>
      </c>
      <c r="AD35">
        <v>0</v>
      </c>
      <c r="AE35">
        <v>1436.5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N35">
        <v>0</v>
      </c>
      <c r="AO35">
        <v>1</v>
      </c>
      <c r="AP35">
        <v>0</v>
      </c>
      <c r="AQ35">
        <v>0</v>
      </c>
      <c r="AR35">
        <v>0</v>
      </c>
      <c r="AS35" t="s">
        <v>3</v>
      </c>
      <c r="AT35">
        <v>0.18</v>
      </c>
      <c r="AU35" t="s">
        <v>3</v>
      </c>
      <c r="AV35">
        <v>0</v>
      </c>
      <c r="AW35">
        <v>2</v>
      </c>
      <c r="AX35">
        <v>38799959</v>
      </c>
      <c r="AY35">
        <v>1</v>
      </c>
      <c r="AZ35">
        <v>0</v>
      </c>
      <c r="BA35">
        <v>34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CX35">
        <f>Y35*Source!I79</f>
        <v>2.5920000000000001</v>
      </c>
      <c r="CY35">
        <f>AA35</f>
        <v>1436.5</v>
      </c>
      <c r="CZ35">
        <f>AE35</f>
        <v>1436.5</v>
      </c>
      <c r="DA35">
        <f>AI35</f>
        <v>1</v>
      </c>
      <c r="DB35">
        <f t="shared" si="0"/>
        <v>258.57</v>
      </c>
      <c r="DC35">
        <f t="shared" si="1"/>
        <v>0</v>
      </c>
    </row>
    <row r="36" spans="1:107" x14ac:dyDescent="0.2">
      <c r="A36">
        <f>ROW(Source!A79)</f>
        <v>79</v>
      </c>
      <c r="B36">
        <v>38799519</v>
      </c>
      <c r="C36">
        <v>38799752</v>
      </c>
      <c r="D36">
        <v>38466380</v>
      </c>
      <c r="E36">
        <v>1</v>
      </c>
      <c r="F36">
        <v>1</v>
      </c>
      <c r="G36">
        <v>27</v>
      </c>
      <c r="H36">
        <v>3</v>
      </c>
      <c r="I36" t="s">
        <v>435</v>
      </c>
      <c r="J36" t="s">
        <v>436</v>
      </c>
      <c r="K36" t="s">
        <v>437</v>
      </c>
      <c r="L36">
        <v>1339</v>
      </c>
      <c r="N36">
        <v>1007</v>
      </c>
      <c r="O36" t="s">
        <v>35</v>
      </c>
      <c r="P36" t="s">
        <v>35</v>
      </c>
      <c r="Q36">
        <v>1</v>
      </c>
      <c r="W36">
        <v>0</v>
      </c>
      <c r="X36">
        <v>1126927627</v>
      </c>
      <c r="Y36">
        <v>0.09</v>
      </c>
      <c r="AA36">
        <v>1436.5</v>
      </c>
      <c r="AB36">
        <v>0</v>
      </c>
      <c r="AC36">
        <v>0</v>
      </c>
      <c r="AD36">
        <v>0</v>
      </c>
      <c r="AE36">
        <v>1436.5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1</v>
      </c>
      <c r="AL36">
        <v>1</v>
      </c>
      <c r="AN36">
        <v>0</v>
      </c>
      <c r="AO36">
        <v>1</v>
      </c>
      <c r="AP36">
        <v>0</v>
      </c>
      <c r="AQ36">
        <v>0</v>
      </c>
      <c r="AR36">
        <v>0</v>
      </c>
      <c r="AS36" t="s">
        <v>3</v>
      </c>
      <c r="AT36">
        <v>0.09</v>
      </c>
      <c r="AU36" t="s">
        <v>3</v>
      </c>
      <c r="AV36">
        <v>0</v>
      </c>
      <c r="AW36">
        <v>2</v>
      </c>
      <c r="AX36">
        <v>38799960</v>
      </c>
      <c r="AY36">
        <v>1</v>
      </c>
      <c r="AZ36">
        <v>0</v>
      </c>
      <c r="BA36">
        <v>35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CX36">
        <f>Y36*Source!I79</f>
        <v>1.296</v>
      </c>
      <c r="CY36">
        <f>AA36</f>
        <v>1436.5</v>
      </c>
      <c r="CZ36">
        <f>AE36</f>
        <v>1436.5</v>
      </c>
      <c r="DA36">
        <f>AI36</f>
        <v>1</v>
      </c>
      <c r="DB36">
        <f t="shared" si="0"/>
        <v>129.29</v>
      </c>
      <c r="DC36">
        <f t="shared" si="1"/>
        <v>0</v>
      </c>
    </row>
    <row r="37" spans="1:107" x14ac:dyDescent="0.2">
      <c r="A37">
        <f>ROW(Source!A79)</f>
        <v>79</v>
      </c>
      <c r="B37">
        <v>38799519</v>
      </c>
      <c r="C37">
        <v>38799752</v>
      </c>
      <c r="D37">
        <v>38466382</v>
      </c>
      <c r="E37">
        <v>1</v>
      </c>
      <c r="F37">
        <v>1</v>
      </c>
      <c r="G37">
        <v>27</v>
      </c>
      <c r="H37">
        <v>3</v>
      </c>
      <c r="I37" t="s">
        <v>438</v>
      </c>
      <c r="J37" t="s">
        <v>439</v>
      </c>
      <c r="K37" t="s">
        <v>440</v>
      </c>
      <c r="L37">
        <v>1339</v>
      </c>
      <c r="N37">
        <v>1007</v>
      </c>
      <c r="O37" t="s">
        <v>35</v>
      </c>
      <c r="P37" t="s">
        <v>35</v>
      </c>
      <c r="Q37">
        <v>1</v>
      </c>
      <c r="W37">
        <v>0</v>
      </c>
      <c r="X37">
        <v>2054449869</v>
      </c>
      <c r="Y37">
        <v>1</v>
      </c>
      <c r="AA37">
        <v>1241</v>
      </c>
      <c r="AB37">
        <v>0</v>
      </c>
      <c r="AC37">
        <v>0</v>
      </c>
      <c r="AD37">
        <v>0</v>
      </c>
      <c r="AE37">
        <v>1241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 t="s">
        <v>3</v>
      </c>
      <c r="AT37">
        <v>1</v>
      </c>
      <c r="AU37" t="s">
        <v>3</v>
      </c>
      <c r="AV37">
        <v>0</v>
      </c>
      <c r="AW37">
        <v>2</v>
      </c>
      <c r="AX37">
        <v>38799961</v>
      </c>
      <c r="AY37">
        <v>1</v>
      </c>
      <c r="AZ37">
        <v>0</v>
      </c>
      <c r="BA37">
        <v>36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CX37">
        <f>Y37*Source!I79</f>
        <v>14.4</v>
      </c>
      <c r="CY37">
        <f>AA37</f>
        <v>1241</v>
      </c>
      <c r="CZ37">
        <f>AE37</f>
        <v>1241</v>
      </c>
      <c r="DA37">
        <f>AI37</f>
        <v>1</v>
      </c>
      <c r="DB37">
        <f t="shared" si="0"/>
        <v>1241</v>
      </c>
      <c r="DC37">
        <f t="shared" si="1"/>
        <v>0</v>
      </c>
    </row>
    <row r="38" spans="1:107" x14ac:dyDescent="0.2">
      <c r="A38">
        <f>ROW(Source!A80)</f>
        <v>80</v>
      </c>
      <c r="B38">
        <v>38799519</v>
      </c>
      <c r="C38">
        <v>38799765</v>
      </c>
      <c r="D38">
        <v>38451941</v>
      </c>
      <c r="E38">
        <v>27</v>
      </c>
      <c r="F38">
        <v>1</v>
      </c>
      <c r="G38">
        <v>27</v>
      </c>
      <c r="H38">
        <v>1</v>
      </c>
      <c r="I38" t="s">
        <v>387</v>
      </c>
      <c r="J38" t="s">
        <v>3</v>
      </c>
      <c r="K38" t="s">
        <v>388</v>
      </c>
      <c r="L38">
        <v>1191</v>
      </c>
      <c r="N38">
        <v>1013</v>
      </c>
      <c r="O38" t="s">
        <v>389</v>
      </c>
      <c r="P38" t="s">
        <v>389</v>
      </c>
      <c r="Q38">
        <v>1</v>
      </c>
      <c r="W38">
        <v>0</v>
      </c>
      <c r="X38">
        <v>476480486</v>
      </c>
      <c r="Y38">
        <v>16.440000000000001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1</v>
      </c>
      <c r="AK38">
        <v>1</v>
      </c>
      <c r="AL38">
        <v>1</v>
      </c>
      <c r="AN38">
        <v>0</v>
      </c>
      <c r="AO38">
        <v>1</v>
      </c>
      <c r="AP38">
        <v>0</v>
      </c>
      <c r="AQ38">
        <v>0</v>
      </c>
      <c r="AR38">
        <v>0</v>
      </c>
      <c r="AS38" t="s">
        <v>3</v>
      </c>
      <c r="AT38">
        <v>16.440000000000001</v>
      </c>
      <c r="AU38" t="s">
        <v>3</v>
      </c>
      <c r="AV38">
        <v>1</v>
      </c>
      <c r="AW38">
        <v>2</v>
      </c>
      <c r="AX38">
        <v>38799962</v>
      </c>
      <c r="AY38">
        <v>1</v>
      </c>
      <c r="AZ38">
        <v>0</v>
      </c>
      <c r="BA38">
        <v>37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CX38">
        <f>Y38*Source!I80</f>
        <v>15.782400000000001</v>
      </c>
      <c r="CY38">
        <f>AD38</f>
        <v>0</v>
      </c>
      <c r="CZ38">
        <f>AH38</f>
        <v>0</v>
      </c>
      <c r="DA38">
        <f>AL38</f>
        <v>1</v>
      </c>
      <c r="DB38">
        <f t="shared" si="0"/>
        <v>0</v>
      </c>
      <c r="DC38">
        <f t="shared" si="1"/>
        <v>0</v>
      </c>
    </row>
    <row r="39" spans="1:107" x14ac:dyDescent="0.2">
      <c r="A39">
        <f>ROW(Source!A80)</f>
        <v>80</v>
      </c>
      <c r="B39">
        <v>38799519</v>
      </c>
      <c r="C39">
        <v>38799765</v>
      </c>
      <c r="D39">
        <v>38464567</v>
      </c>
      <c r="E39">
        <v>1</v>
      </c>
      <c r="F39">
        <v>1</v>
      </c>
      <c r="G39">
        <v>27</v>
      </c>
      <c r="H39">
        <v>2</v>
      </c>
      <c r="I39" t="s">
        <v>412</v>
      </c>
      <c r="J39" t="s">
        <v>413</v>
      </c>
      <c r="K39" t="s">
        <v>414</v>
      </c>
      <c r="L39">
        <v>1368</v>
      </c>
      <c r="N39">
        <v>1011</v>
      </c>
      <c r="O39" t="s">
        <v>393</v>
      </c>
      <c r="P39" t="s">
        <v>393</v>
      </c>
      <c r="Q39">
        <v>1</v>
      </c>
      <c r="W39">
        <v>0</v>
      </c>
      <c r="X39">
        <v>734322642</v>
      </c>
      <c r="Y39">
        <v>0.55000000000000004</v>
      </c>
      <c r="AA39">
        <v>0</v>
      </c>
      <c r="AB39">
        <v>744.2</v>
      </c>
      <c r="AC39">
        <v>423.17</v>
      </c>
      <c r="AD39">
        <v>0</v>
      </c>
      <c r="AE39">
        <v>0</v>
      </c>
      <c r="AF39">
        <v>744.2</v>
      </c>
      <c r="AG39">
        <v>423.17</v>
      </c>
      <c r="AH39">
        <v>0</v>
      </c>
      <c r="AI39">
        <v>1</v>
      </c>
      <c r="AJ39">
        <v>1</v>
      </c>
      <c r="AK39">
        <v>1</v>
      </c>
      <c r="AL39">
        <v>1</v>
      </c>
      <c r="AN39">
        <v>0</v>
      </c>
      <c r="AO39">
        <v>1</v>
      </c>
      <c r="AP39">
        <v>0</v>
      </c>
      <c r="AQ39">
        <v>0</v>
      </c>
      <c r="AR39">
        <v>0</v>
      </c>
      <c r="AS39" t="s">
        <v>3</v>
      </c>
      <c r="AT39">
        <v>0.55000000000000004</v>
      </c>
      <c r="AU39" t="s">
        <v>3</v>
      </c>
      <c r="AV39">
        <v>0</v>
      </c>
      <c r="AW39">
        <v>2</v>
      </c>
      <c r="AX39">
        <v>38799963</v>
      </c>
      <c r="AY39">
        <v>1</v>
      </c>
      <c r="AZ39">
        <v>0</v>
      </c>
      <c r="BA39">
        <v>38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CX39">
        <f>Y39*Source!I80</f>
        <v>0.52800000000000002</v>
      </c>
      <c r="CY39">
        <f>AB39</f>
        <v>744.2</v>
      </c>
      <c r="CZ39">
        <f>AF39</f>
        <v>744.2</v>
      </c>
      <c r="DA39">
        <f>AJ39</f>
        <v>1</v>
      </c>
      <c r="DB39">
        <f t="shared" si="0"/>
        <v>409.31</v>
      </c>
      <c r="DC39">
        <f t="shared" si="1"/>
        <v>232.74</v>
      </c>
    </row>
    <row r="40" spans="1:107" x14ac:dyDescent="0.2">
      <c r="A40">
        <f>ROW(Source!A80)</f>
        <v>80</v>
      </c>
      <c r="B40">
        <v>38799519</v>
      </c>
      <c r="C40">
        <v>38799765</v>
      </c>
      <c r="D40">
        <v>38464689</v>
      </c>
      <c r="E40">
        <v>1</v>
      </c>
      <c r="F40">
        <v>1</v>
      </c>
      <c r="G40">
        <v>27</v>
      </c>
      <c r="H40">
        <v>2</v>
      </c>
      <c r="I40" t="s">
        <v>441</v>
      </c>
      <c r="J40" t="s">
        <v>442</v>
      </c>
      <c r="K40" t="s">
        <v>443</v>
      </c>
      <c r="L40">
        <v>1368</v>
      </c>
      <c r="N40">
        <v>1011</v>
      </c>
      <c r="O40" t="s">
        <v>393</v>
      </c>
      <c r="P40" t="s">
        <v>393</v>
      </c>
      <c r="Q40">
        <v>1</v>
      </c>
      <c r="W40">
        <v>0</v>
      </c>
      <c r="X40">
        <v>831329057</v>
      </c>
      <c r="Y40">
        <v>0.81</v>
      </c>
      <c r="AA40">
        <v>0</v>
      </c>
      <c r="AB40">
        <v>1977.07</v>
      </c>
      <c r="AC40">
        <v>1200.6500000000001</v>
      </c>
      <c r="AD40">
        <v>0</v>
      </c>
      <c r="AE40">
        <v>0</v>
      </c>
      <c r="AF40">
        <v>1977.07</v>
      </c>
      <c r="AG40">
        <v>1200.6500000000001</v>
      </c>
      <c r="AH40">
        <v>0</v>
      </c>
      <c r="AI40">
        <v>1</v>
      </c>
      <c r="AJ40">
        <v>1</v>
      </c>
      <c r="AK40">
        <v>1</v>
      </c>
      <c r="AL40">
        <v>1</v>
      </c>
      <c r="AN40">
        <v>0</v>
      </c>
      <c r="AO40">
        <v>1</v>
      </c>
      <c r="AP40">
        <v>0</v>
      </c>
      <c r="AQ40">
        <v>0</v>
      </c>
      <c r="AR40">
        <v>0</v>
      </c>
      <c r="AS40" t="s">
        <v>3</v>
      </c>
      <c r="AT40">
        <v>0.81</v>
      </c>
      <c r="AU40" t="s">
        <v>3</v>
      </c>
      <c r="AV40">
        <v>0</v>
      </c>
      <c r="AW40">
        <v>2</v>
      </c>
      <c r="AX40">
        <v>38799964</v>
      </c>
      <c r="AY40">
        <v>1</v>
      </c>
      <c r="AZ40">
        <v>0</v>
      </c>
      <c r="BA40">
        <v>39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CX40">
        <f>Y40*Source!I80</f>
        <v>0.77760000000000007</v>
      </c>
      <c r="CY40">
        <f>AB40</f>
        <v>1977.07</v>
      </c>
      <c r="CZ40">
        <f>AF40</f>
        <v>1977.07</v>
      </c>
      <c r="DA40">
        <f>AJ40</f>
        <v>1</v>
      </c>
      <c r="DB40">
        <f t="shared" si="0"/>
        <v>1601.43</v>
      </c>
      <c r="DC40">
        <f t="shared" si="1"/>
        <v>972.53</v>
      </c>
    </row>
    <row r="41" spans="1:107" x14ac:dyDescent="0.2">
      <c r="A41">
        <f>ROW(Source!A80)</f>
        <v>80</v>
      </c>
      <c r="B41">
        <v>38799519</v>
      </c>
      <c r="C41">
        <v>38799765</v>
      </c>
      <c r="D41">
        <v>38465034</v>
      </c>
      <c r="E41">
        <v>1</v>
      </c>
      <c r="F41">
        <v>1</v>
      </c>
      <c r="G41">
        <v>27</v>
      </c>
      <c r="H41">
        <v>2</v>
      </c>
      <c r="I41" t="s">
        <v>420</v>
      </c>
      <c r="J41" t="s">
        <v>421</v>
      </c>
      <c r="K41" t="s">
        <v>422</v>
      </c>
      <c r="L41">
        <v>1368</v>
      </c>
      <c r="N41">
        <v>1011</v>
      </c>
      <c r="O41" t="s">
        <v>393</v>
      </c>
      <c r="P41" t="s">
        <v>393</v>
      </c>
      <c r="Q41">
        <v>1</v>
      </c>
      <c r="W41">
        <v>0</v>
      </c>
      <c r="X41">
        <v>-1383996176</v>
      </c>
      <c r="Y41">
        <v>1.08</v>
      </c>
      <c r="AA41">
        <v>0</v>
      </c>
      <c r="AB41">
        <v>3.75</v>
      </c>
      <c r="AC41">
        <v>2.56</v>
      </c>
      <c r="AD41">
        <v>0</v>
      </c>
      <c r="AE41">
        <v>0</v>
      </c>
      <c r="AF41">
        <v>3.75</v>
      </c>
      <c r="AG41">
        <v>2.56</v>
      </c>
      <c r="AH41">
        <v>0</v>
      </c>
      <c r="AI41">
        <v>1</v>
      </c>
      <c r="AJ41">
        <v>1</v>
      </c>
      <c r="AK41">
        <v>1</v>
      </c>
      <c r="AL41">
        <v>1</v>
      </c>
      <c r="AN41">
        <v>0</v>
      </c>
      <c r="AO41">
        <v>1</v>
      </c>
      <c r="AP41">
        <v>0</v>
      </c>
      <c r="AQ41">
        <v>0</v>
      </c>
      <c r="AR41">
        <v>0</v>
      </c>
      <c r="AS41" t="s">
        <v>3</v>
      </c>
      <c r="AT41">
        <v>1.08</v>
      </c>
      <c r="AU41" t="s">
        <v>3</v>
      </c>
      <c r="AV41">
        <v>0</v>
      </c>
      <c r="AW41">
        <v>2</v>
      </c>
      <c r="AX41">
        <v>38799965</v>
      </c>
      <c r="AY41">
        <v>1</v>
      </c>
      <c r="AZ41">
        <v>0</v>
      </c>
      <c r="BA41">
        <v>40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CX41">
        <f>Y41*Source!I80</f>
        <v>1.0367999999999999</v>
      </c>
      <c r="CY41">
        <f>AB41</f>
        <v>3.75</v>
      </c>
      <c r="CZ41">
        <f>AF41</f>
        <v>3.75</v>
      </c>
      <c r="DA41">
        <f>AJ41</f>
        <v>1</v>
      </c>
      <c r="DB41">
        <f t="shared" ref="DB41:DB72" si="2">ROUND(ROUND(AT41*CZ41,2),6)</f>
        <v>4.05</v>
      </c>
      <c r="DC41">
        <f t="shared" ref="DC41:DC72" si="3">ROUND(ROUND(AT41*AG41,2),6)</f>
        <v>2.76</v>
      </c>
    </row>
    <row r="42" spans="1:107" x14ac:dyDescent="0.2">
      <c r="A42">
        <f>ROW(Source!A80)</f>
        <v>80</v>
      </c>
      <c r="B42">
        <v>38799519</v>
      </c>
      <c r="C42">
        <v>38799765</v>
      </c>
      <c r="D42">
        <v>38465228</v>
      </c>
      <c r="E42">
        <v>1</v>
      </c>
      <c r="F42">
        <v>1</v>
      </c>
      <c r="G42">
        <v>27</v>
      </c>
      <c r="H42">
        <v>3</v>
      </c>
      <c r="I42" t="s">
        <v>444</v>
      </c>
      <c r="J42" t="s">
        <v>445</v>
      </c>
      <c r="K42" t="s">
        <v>446</v>
      </c>
      <c r="L42">
        <v>1348</v>
      </c>
      <c r="N42">
        <v>1009</v>
      </c>
      <c r="O42" t="s">
        <v>155</v>
      </c>
      <c r="P42" t="s">
        <v>155</v>
      </c>
      <c r="Q42">
        <v>1000</v>
      </c>
      <c r="W42">
        <v>0</v>
      </c>
      <c r="X42">
        <v>1123680579</v>
      </c>
      <c r="Y42">
        <v>6.9000000000000006E-2</v>
      </c>
      <c r="AA42">
        <v>36258.75</v>
      </c>
      <c r="AB42">
        <v>0</v>
      </c>
      <c r="AC42">
        <v>0</v>
      </c>
      <c r="AD42">
        <v>0</v>
      </c>
      <c r="AE42">
        <v>36258.75</v>
      </c>
      <c r="AF42">
        <v>0</v>
      </c>
      <c r="AG42">
        <v>0</v>
      </c>
      <c r="AH42">
        <v>0</v>
      </c>
      <c r="AI42">
        <v>1</v>
      </c>
      <c r="AJ42">
        <v>1</v>
      </c>
      <c r="AK42">
        <v>1</v>
      </c>
      <c r="AL42">
        <v>1</v>
      </c>
      <c r="AN42">
        <v>0</v>
      </c>
      <c r="AO42">
        <v>1</v>
      </c>
      <c r="AP42">
        <v>0</v>
      </c>
      <c r="AQ42">
        <v>0</v>
      </c>
      <c r="AR42">
        <v>0</v>
      </c>
      <c r="AS42" t="s">
        <v>3</v>
      </c>
      <c r="AT42">
        <v>6.9000000000000006E-2</v>
      </c>
      <c r="AU42" t="s">
        <v>3</v>
      </c>
      <c r="AV42">
        <v>0</v>
      </c>
      <c r="AW42">
        <v>2</v>
      </c>
      <c r="AX42">
        <v>38799966</v>
      </c>
      <c r="AY42">
        <v>1</v>
      </c>
      <c r="AZ42">
        <v>0</v>
      </c>
      <c r="BA42">
        <v>41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CX42">
        <f>Y42*Source!I80</f>
        <v>6.6240000000000007E-2</v>
      </c>
      <c r="CY42">
        <f>AA42</f>
        <v>36258.75</v>
      </c>
      <c r="CZ42">
        <f>AE42</f>
        <v>36258.75</v>
      </c>
      <c r="DA42">
        <f>AI42</f>
        <v>1</v>
      </c>
      <c r="DB42">
        <f t="shared" si="2"/>
        <v>2501.85</v>
      </c>
      <c r="DC42">
        <f t="shared" si="3"/>
        <v>0</v>
      </c>
    </row>
    <row r="43" spans="1:107" x14ac:dyDescent="0.2">
      <c r="A43">
        <f>ROW(Source!A80)</f>
        <v>80</v>
      </c>
      <c r="B43">
        <v>38799519</v>
      </c>
      <c r="C43">
        <v>38799765</v>
      </c>
      <c r="D43">
        <v>38465769</v>
      </c>
      <c r="E43">
        <v>1</v>
      </c>
      <c r="F43">
        <v>1</v>
      </c>
      <c r="G43">
        <v>27</v>
      </c>
      <c r="H43">
        <v>3</v>
      </c>
      <c r="I43" t="s">
        <v>447</v>
      </c>
      <c r="J43" t="s">
        <v>448</v>
      </c>
      <c r="K43" t="s">
        <v>449</v>
      </c>
      <c r="L43">
        <v>1339</v>
      </c>
      <c r="N43">
        <v>1007</v>
      </c>
      <c r="O43" t="s">
        <v>35</v>
      </c>
      <c r="P43" t="s">
        <v>35</v>
      </c>
      <c r="Q43">
        <v>1</v>
      </c>
      <c r="W43">
        <v>0</v>
      </c>
      <c r="X43">
        <v>-1674634845</v>
      </c>
      <c r="Y43">
        <v>0.01</v>
      </c>
      <c r="AA43">
        <v>7064.05</v>
      </c>
      <c r="AB43">
        <v>0</v>
      </c>
      <c r="AC43">
        <v>0</v>
      </c>
      <c r="AD43">
        <v>0</v>
      </c>
      <c r="AE43">
        <v>7064.05</v>
      </c>
      <c r="AF43">
        <v>0</v>
      </c>
      <c r="AG43">
        <v>0</v>
      </c>
      <c r="AH43">
        <v>0</v>
      </c>
      <c r="AI43">
        <v>1</v>
      </c>
      <c r="AJ43">
        <v>1</v>
      </c>
      <c r="AK43">
        <v>1</v>
      </c>
      <c r="AL43">
        <v>1</v>
      </c>
      <c r="AN43">
        <v>0</v>
      </c>
      <c r="AO43">
        <v>1</v>
      </c>
      <c r="AP43">
        <v>0</v>
      </c>
      <c r="AQ43">
        <v>0</v>
      </c>
      <c r="AR43">
        <v>0</v>
      </c>
      <c r="AS43" t="s">
        <v>3</v>
      </c>
      <c r="AT43">
        <v>0.01</v>
      </c>
      <c r="AU43" t="s">
        <v>3</v>
      </c>
      <c r="AV43">
        <v>0</v>
      </c>
      <c r="AW43">
        <v>2</v>
      </c>
      <c r="AX43">
        <v>38799967</v>
      </c>
      <c r="AY43">
        <v>1</v>
      </c>
      <c r="AZ43">
        <v>0</v>
      </c>
      <c r="BA43">
        <v>42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CX43">
        <f>Y43*Source!I80</f>
        <v>9.5999999999999992E-3</v>
      </c>
      <c r="CY43">
        <f>AA43</f>
        <v>7064.05</v>
      </c>
      <c r="CZ43">
        <f>AE43</f>
        <v>7064.05</v>
      </c>
      <c r="DA43">
        <f>AI43</f>
        <v>1</v>
      </c>
      <c r="DB43">
        <f t="shared" si="2"/>
        <v>70.64</v>
      </c>
      <c r="DC43">
        <f t="shared" si="3"/>
        <v>0</v>
      </c>
    </row>
    <row r="44" spans="1:107" x14ac:dyDescent="0.2">
      <c r="A44">
        <f>ROW(Source!A80)</f>
        <v>80</v>
      </c>
      <c r="B44">
        <v>38799519</v>
      </c>
      <c r="C44">
        <v>38799765</v>
      </c>
      <c r="D44">
        <v>38468294</v>
      </c>
      <c r="E44">
        <v>1</v>
      </c>
      <c r="F44">
        <v>1</v>
      </c>
      <c r="G44">
        <v>27</v>
      </c>
      <c r="H44">
        <v>3</v>
      </c>
      <c r="I44" t="s">
        <v>450</v>
      </c>
      <c r="J44" t="s">
        <v>451</v>
      </c>
      <c r="K44" t="s">
        <v>452</v>
      </c>
      <c r="L44">
        <v>1348</v>
      </c>
      <c r="N44">
        <v>1009</v>
      </c>
      <c r="O44" t="s">
        <v>155</v>
      </c>
      <c r="P44" t="s">
        <v>155</v>
      </c>
      <c r="Q44">
        <v>1000</v>
      </c>
      <c r="W44">
        <v>0</v>
      </c>
      <c r="X44">
        <v>1103439754</v>
      </c>
      <c r="Y44">
        <v>5.79</v>
      </c>
      <c r="AA44">
        <v>2562.79</v>
      </c>
      <c r="AB44">
        <v>0</v>
      </c>
      <c r="AC44">
        <v>0</v>
      </c>
      <c r="AD44">
        <v>0</v>
      </c>
      <c r="AE44">
        <v>2562.79</v>
      </c>
      <c r="AF44">
        <v>0</v>
      </c>
      <c r="AG44">
        <v>0</v>
      </c>
      <c r="AH44">
        <v>0</v>
      </c>
      <c r="AI44">
        <v>1</v>
      </c>
      <c r="AJ44">
        <v>1</v>
      </c>
      <c r="AK44">
        <v>1</v>
      </c>
      <c r="AL44">
        <v>1</v>
      </c>
      <c r="AN44">
        <v>0</v>
      </c>
      <c r="AO44">
        <v>1</v>
      </c>
      <c r="AP44">
        <v>0</v>
      </c>
      <c r="AQ44">
        <v>0</v>
      </c>
      <c r="AR44">
        <v>0</v>
      </c>
      <c r="AS44" t="s">
        <v>3</v>
      </c>
      <c r="AT44">
        <v>5.79</v>
      </c>
      <c r="AU44" t="s">
        <v>3</v>
      </c>
      <c r="AV44">
        <v>0</v>
      </c>
      <c r="AW44">
        <v>2</v>
      </c>
      <c r="AX44">
        <v>38799968</v>
      </c>
      <c r="AY44">
        <v>1</v>
      </c>
      <c r="AZ44">
        <v>0</v>
      </c>
      <c r="BA44">
        <v>43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CX44">
        <f>Y44*Source!I80</f>
        <v>5.5583999999999998</v>
      </c>
      <c r="CY44">
        <f>AA44</f>
        <v>2562.79</v>
      </c>
      <c r="CZ44">
        <f>AE44</f>
        <v>2562.79</v>
      </c>
      <c r="DA44">
        <f>AI44</f>
        <v>1</v>
      </c>
      <c r="DB44">
        <f t="shared" si="2"/>
        <v>14838.55</v>
      </c>
      <c r="DC44">
        <f t="shared" si="3"/>
        <v>0</v>
      </c>
    </row>
    <row r="45" spans="1:107" x14ac:dyDescent="0.2">
      <c r="A45">
        <f>ROW(Source!A81)</f>
        <v>81</v>
      </c>
      <c r="B45">
        <v>38799519</v>
      </c>
      <c r="C45">
        <v>38799780</v>
      </c>
      <c r="D45">
        <v>38451941</v>
      </c>
      <c r="E45">
        <v>27</v>
      </c>
      <c r="F45">
        <v>1</v>
      </c>
      <c r="G45">
        <v>27</v>
      </c>
      <c r="H45">
        <v>1</v>
      </c>
      <c r="I45" t="s">
        <v>387</v>
      </c>
      <c r="J45" t="s">
        <v>3</v>
      </c>
      <c r="K45" t="s">
        <v>388</v>
      </c>
      <c r="L45">
        <v>1191</v>
      </c>
      <c r="N45">
        <v>1013</v>
      </c>
      <c r="O45" t="s">
        <v>389</v>
      </c>
      <c r="P45" t="s">
        <v>389</v>
      </c>
      <c r="Q45">
        <v>1</v>
      </c>
      <c r="W45">
        <v>0</v>
      </c>
      <c r="X45">
        <v>476480486</v>
      </c>
      <c r="Y45">
        <v>2.31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1</v>
      </c>
      <c r="AL45">
        <v>1</v>
      </c>
      <c r="AN45">
        <v>0</v>
      </c>
      <c r="AO45">
        <v>1</v>
      </c>
      <c r="AP45">
        <v>0</v>
      </c>
      <c r="AQ45">
        <v>0</v>
      </c>
      <c r="AR45">
        <v>0</v>
      </c>
      <c r="AS45" t="s">
        <v>3</v>
      </c>
      <c r="AT45">
        <v>2.31</v>
      </c>
      <c r="AU45" t="s">
        <v>3</v>
      </c>
      <c r="AV45">
        <v>1</v>
      </c>
      <c r="AW45">
        <v>2</v>
      </c>
      <c r="AX45">
        <v>38799969</v>
      </c>
      <c r="AY45">
        <v>1</v>
      </c>
      <c r="AZ45">
        <v>0</v>
      </c>
      <c r="BA45">
        <v>44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CX45">
        <f>Y45*Source!I81</f>
        <v>2.2176</v>
      </c>
      <c r="CY45">
        <f>AD45</f>
        <v>0</v>
      </c>
      <c r="CZ45">
        <f>AH45</f>
        <v>0</v>
      </c>
      <c r="DA45">
        <f>AL45</f>
        <v>1</v>
      </c>
      <c r="DB45">
        <f t="shared" si="2"/>
        <v>0</v>
      </c>
      <c r="DC45">
        <f t="shared" si="3"/>
        <v>0</v>
      </c>
    </row>
    <row r="46" spans="1:107" x14ac:dyDescent="0.2">
      <c r="A46">
        <f>ROW(Source!A81)</f>
        <v>81</v>
      </c>
      <c r="B46">
        <v>38799519</v>
      </c>
      <c r="C46">
        <v>38799780</v>
      </c>
      <c r="D46">
        <v>38464567</v>
      </c>
      <c r="E46">
        <v>1</v>
      </c>
      <c r="F46">
        <v>1</v>
      </c>
      <c r="G46">
        <v>27</v>
      </c>
      <c r="H46">
        <v>2</v>
      </c>
      <c r="I46" t="s">
        <v>412</v>
      </c>
      <c r="J46" t="s">
        <v>413</v>
      </c>
      <c r="K46" t="s">
        <v>414</v>
      </c>
      <c r="L46">
        <v>1368</v>
      </c>
      <c r="N46">
        <v>1011</v>
      </c>
      <c r="O46" t="s">
        <v>393</v>
      </c>
      <c r="P46" t="s">
        <v>393</v>
      </c>
      <c r="Q46">
        <v>1</v>
      </c>
      <c r="W46">
        <v>0</v>
      </c>
      <c r="X46">
        <v>734322642</v>
      </c>
      <c r="Y46">
        <v>0.14000000000000001</v>
      </c>
      <c r="AA46">
        <v>0</v>
      </c>
      <c r="AB46">
        <v>744.2</v>
      </c>
      <c r="AC46">
        <v>423.17</v>
      </c>
      <c r="AD46">
        <v>0</v>
      </c>
      <c r="AE46">
        <v>0</v>
      </c>
      <c r="AF46">
        <v>744.2</v>
      </c>
      <c r="AG46">
        <v>423.17</v>
      </c>
      <c r="AH46">
        <v>0</v>
      </c>
      <c r="AI46">
        <v>1</v>
      </c>
      <c r="AJ46">
        <v>1</v>
      </c>
      <c r="AK46">
        <v>1</v>
      </c>
      <c r="AL46">
        <v>1</v>
      </c>
      <c r="AN46">
        <v>0</v>
      </c>
      <c r="AO46">
        <v>1</v>
      </c>
      <c r="AP46">
        <v>0</v>
      </c>
      <c r="AQ46">
        <v>0</v>
      </c>
      <c r="AR46">
        <v>0</v>
      </c>
      <c r="AS46" t="s">
        <v>3</v>
      </c>
      <c r="AT46">
        <v>0.14000000000000001</v>
      </c>
      <c r="AU46" t="s">
        <v>3</v>
      </c>
      <c r="AV46">
        <v>0</v>
      </c>
      <c r="AW46">
        <v>2</v>
      </c>
      <c r="AX46">
        <v>38799970</v>
      </c>
      <c r="AY46">
        <v>1</v>
      </c>
      <c r="AZ46">
        <v>0</v>
      </c>
      <c r="BA46">
        <v>45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CX46">
        <f>Y46*Source!I81</f>
        <v>0.13440000000000002</v>
      </c>
      <c r="CY46">
        <f>AB46</f>
        <v>744.2</v>
      </c>
      <c r="CZ46">
        <f>AF46</f>
        <v>744.2</v>
      </c>
      <c r="DA46">
        <f>AJ46</f>
        <v>1</v>
      </c>
      <c r="DB46">
        <f t="shared" si="2"/>
        <v>104.19</v>
      </c>
      <c r="DC46">
        <f t="shared" si="3"/>
        <v>59.24</v>
      </c>
    </row>
    <row r="47" spans="1:107" x14ac:dyDescent="0.2">
      <c r="A47">
        <f>ROW(Source!A81)</f>
        <v>81</v>
      </c>
      <c r="B47">
        <v>38799519</v>
      </c>
      <c r="C47">
        <v>38799780</v>
      </c>
      <c r="D47">
        <v>38465034</v>
      </c>
      <c r="E47">
        <v>1</v>
      </c>
      <c r="F47">
        <v>1</v>
      </c>
      <c r="G47">
        <v>27</v>
      </c>
      <c r="H47">
        <v>2</v>
      </c>
      <c r="I47" t="s">
        <v>420</v>
      </c>
      <c r="J47" t="s">
        <v>421</v>
      </c>
      <c r="K47" t="s">
        <v>422</v>
      </c>
      <c r="L47">
        <v>1368</v>
      </c>
      <c r="N47">
        <v>1011</v>
      </c>
      <c r="O47" t="s">
        <v>393</v>
      </c>
      <c r="P47" t="s">
        <v>393</v>
      </c>
      <c r="Q47">
        <v>1</v>
      </c>
      <c r="W47">
        <v>0</v>
      </c>
      <c r="X47">
        <v>-1383996176</v>
      </c>
      <c r="Y47">
        <v>0.28000000000000003</v>
      </c>
      <c r="AA47">
        <v>0</v>
      </c>
      <c r="AB47">
        <v>3.75</v>
      </c>
      <c r="AC47">
        <v>2.56</v>
      </c>
      <c r="AD47">
        <v>0</v>
      </c>
      <c r="AE47">
        <v>0</v>
      </c>
      <c r="AF47">
        <v>3.75</v>
      </c>
      <c r="AG47">
        <v>2.56</v>
      </c>
      <c r="AH47">
        <v>0</v>
      </c>
      <c r="AI47">
        <v>1</v>
      </c>
      <c r="AJ47">
        <v>1</v>
      </c>
      <c r="AK47">
        <v>1</v>
      </c>
      <c r="AL47">
        <v>1</v>
      </c>
      <c r="AN47">
        <v>0</v>
      </c>
      <c r="AO47">
        <v>1</v>
      </c>
      <c r="AP47">
        <v>0</v>
      </c>
      <c r="AQ47">
        <v>0</v>
      </c>
      <c r="AR47">
        <v>0</v>
      </c>
      <c r="AS47" t="s">
        <v>3</v>
      </c>
      <c r="AT47">
        <v>0.28000000000000003</v>
      </c>
      <c r="AU47" t="s">
        <v>3</v>
      </c>
      <c r="AV47">
        <v>0</v>
      </c>
      <c r="AW47">
        <v>2</v>
      </c>
      <c r="AX47">
        <v>38799971</v>
      </c>
      <c r="AY47">
        <v>1</v>
      </c>
      <c r="AZ47">
        <v>0</v>
      </c>
      <c r="BA47">
        <v>46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CX47">
        <f>Y47*Source!I81</f>
        <v>0.26880000000000004</v>
      </c>
      <c r="CY47">
        <f>AB47</f>
        <v>3.75</v>
      </c>
      <c r="CZ47">
        <f>AF47</f>
        <v>3.75</v>
      </c>
      <c r="DA47">
        <f>AJ47</f>
        <v>1</v>
      </c>
      <c r="DB47">
        <f t="shared" si="2"/>
        <v>1.05</v>
      </c>
      <c r="DC47">
        <f t="shared" si="3"/>
        <v>0.72</v>
      </c>
    </row>
    <row r="48" spans="1:107" x14ac:dyDescent="0.2">
      <c r="A48">
        <f>ROW(Source!A81)</f>
        <v>81</v>
      </c>
      <c r="B48">
        <v>38799519</v>
      </c>
      <c r="C48">
        <v>38799780</v>
      </c>
      <c r="D48">
        <v>38468294</v>
      </c>
      <c r="E48">
        <v>1</v>
      </c>
      <c r="F48">
        <v>1</v>
      </c>
      <c r="G48">
        <v>27</v>
      </c>
      <c r="H48">
        <v>3</v>
      </c>
      <c r="I48" t="s">
        <v>450</v>
      </c>
      <c r="J48" t="s">
        <v>451</v>
      </c>
      <c r="K48" t="s">
        <v>452</v>
      </c>
      <c r="L48">
        <v>1348</v>
      </c>
      <c r="N48">
        <v>1009</v>
      </c>
      <c r="O48" t="s">
        <v>155</v>
      </c>
      <c r="P48" t="s">
        <v>155</v>
      </c>
      <c r="Q48">
        <v>1000</v>
      </c>
      <c r="W48">
        <v>0</v>
      </c>
      <c r="X48">
        <v>1103439754</v>
      </c>
      <c r="Y48">
        <v>1.1599999999999999</v>
      </c>
      <c r="AA48">
        <v>2562.79</v>
      </c>
      <c r="AB48">
        <v>0</v>
      </c>
      <c r="AC48">
        <v>0</v>
      </c>
      <c r="AD48">
        <v>0</v>
      </c>
      <c r="AE48">
        <v>2562.79</v>
      </c>
      <c r="AF48">
        <v>0</v>
      </c>
      <c r="AG48">
        <v>0</v>
      </c>
      <c r="AH48">
        <v>0</v>
      </c>
      <c r="AI48">
        <v>1</v>
      </c>
      <c r="AJ48">
        <v>1</v>
      </c>
      <c r="AK48">
        <v>1</v>
      </c>
      <c r="AL48">
        <v>1</v>
      </c>
      <c r="AN48">
        <v>0</v>
      </c>
      <c r="AO48">
        <v>1</v>
      </c>
      <c r="AP48">
        <v>0</v>
      </c>
      <c r="AQ48">
        <v>0</v>
      </c>
      <c r="AR48">
        <v>0</v>
      </c>
      <c r="AS48" t="s">
        <v>3</v>
      </c>
      <c r="AT48">
        <v>1.1599999999999999</v>
      </c>
      <c r="AU48" t="s">
        <v>3</v>
      </c>
      <c r="AV48">
        <v>0</v>
      </c>
      <c r="AW48">
        <v>2</v>
      </c>
      <c r="AX48">
        <v>38799972</v>
      </c>
      <c r="AY48">
        <v>1</v>
      </c>
      <c r="AZ48">
        <v>0</v>
      </c>
      <c r="BA48">
        <v>47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CX48">
        <f>Y48*Source!I81</f>
        <v>1.1135999999999999</v>
      </c>
      <c r="CY48">
        <f>AA48</f>
        <v>2562.79</v>
      </c>
      <c r="CZ48">
        <f>AE48</f>
        <v>2562.79</v>
      </c>
      <c r="DA48">
        <f>AI48</f>
        <v>1</v>
      </c>
      <c r="DB48">
        <f t="shared" si="2"/>
        <v>2972.84</v>
      </c>
      <c r="DC48">
        <f t="shared" si="3"/>
        <v>0</v>
      </c>
    </row>
    <row r="49" spans="1:107" x14ac:dyDescent="0.2">
      <c r="A49">
        <f>ROW(Source!A82)</f>
        <v>82</v>
      </c>
      <c r="B49">
        <v>38799519</v>
      </c>
      <c r="C49">
        <v>38799789</v>
      </c>
      <c r="D49">
        <v>38451941</v>
      </c>
      <c r="E49">
        <v>27</v>
      </c>
      <c r="F49">
        <v>1</v>
      </c>
      <c r="G49">
        <v>27</v>
      </c>
      <c r="H49">
        <v>1</v>
      </c>
      <c r="I49" t="s">
        <v>387</v>
      </c>
      <c r="J49" t="s">
        <v>3</v>
      </c>
      <c r="K49" t="s">
        <v>388</v>
      </c>
      <c r="L49">
        <v>1191</v>
      </c>
      <c r="N49">
        <v>1013</v>
      </c>
      <c r="O49" t="s">
        <v>389</v>
      </c>
      <c r="P49" t="s">
        <v>389</v>
      </c>
      <c r="Q49">
        <v>1</v>
      </c>
      <c r="W49">
        <v>0</v>
      </c>
      <c r="X49">
        <v>476480486</v>
      </c>
      <c r="Y49">
        <v>18.440000000000001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1</v>
      </c>
      <c r="AK49">
        <v>1</v>
      </c>
      <c r="AL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 t="s">
        <v>3</v>
      </c>
      <c r="AT49">
        <v>18.440000000000001</v>
      </c>
      <c r="AU49" t="s">
        <v>3</v>
      </c>
      <c r="AV49">
        <v>1</v>
      </c>
      <c r="AW49">
        <v>2</v>
      </c>
      <c r="AX49">
        <v>38799973</v>
      </c>
      <c r="AY49">
        <v>1</v>
      </c>
      <c r="AZ49">
        <v>0</v>
      </c>
      <c r="BA49">
        <v>48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CX49">
        <f>Y49*Source!I82</f>
        <v>17.702400000000001</v>
      </c>
      <c r="CY49">
        <f>AD49</f>
        <v>0</v>
      </c>
      <c r="CZ49">
        <f>AH49</f>
        <v>0</v>
      </c>
      <c r="DA49">
        <f>AL49</f>
        <v>1</v>
      </c>
      <c r="DB49">
        <f t="shared" si="2"/>
        <v>0</v>
      </c>
      <c r="DC49">
        <f t="shared" si="3"/>
        <v>0</v>
      </c>
    </row>
    <row r="50" spans="1:107" x14ac:dyDescent="0.2">
      <c r="A50">
        <f>ROW(Source!A82)</f>
        <v>82</v>
      </c>
      <c r="B50">
        <v>38799519</v>
      </c>
      <c r="C50">
        <v>38799789</v>
      </c>
      <c r="D50">
        <v>38464899</v>
      </c>
      <c r="E50">
        <v>1</v>
      </c>
      <c r="F50">
        <v>1</v>
      </c>
      <c r="G50">
        <v>27</v>
      </c>
      <c r="H50">
        <v>2</v>
      </c>
      <c r="I50" t="s">
        <v>453</v>
      </c>
      <c r="J50" t="s">
        <v>454</v>
      </c>
      <c r="K50" t="s">
        <v>455</v>
      </c>
      <c r="L50">
        <v>1368</v>
      </c>
      <c r="N50">
        <v>1011</v>
      </c>
      <c r="O50" t="s">
        <v>393</v>
      </c>
      <c r="P50" t="s">
        <v>393</v>
      </c>
      <c r="Q50">
        <v>1</v>
      </c>
      <c r="W50">
        <v>0</v>
      </c>
      <c r="X50">
        <v>2028281919</v>
      </c>
      <c r="Y50">
        <v>2.64</v>
      </c>
      <c r="AA50">
        <v>0</v>
      </c>
      <c r="AB50">
        <v>531.41</v>
      </c>
      <c r="AC50">
        <v>373.56</v>
      </c>
      <c r="AD50">
        <v>0</v>
      </c>
      <c r="AE50">
        <v>0</v>
      </c>
      <c r="AF50">
        <v>531.41</v>
      </c>
      <c r="AG50">
        <v>373.56</v>
      </c>
      <c r="AH50">
        <v>0</v>
      </c>
      <c r="AI50">
        <v>1</v>
      </c>
      <c r="AJ50">
        <v>1</v>
      </c>
      <c r="AK50">
        <v>1</v>
      </c>
      <c r="AL50">
        <v>1</v>
      </c>
      <c r="AN50">
        <v>0</v>
      </c>
      <c r="AO50">
        <v>1</v>
      </c>
      <c r="AP50">
        <v>0</v>
      </c>
      <c r="AQ50">
        <v>0</v>
      </c>
      <c r="AR50">
        <v>0</v>
      </c>
      <c r="AS50" t="s">
        <v>3</v>
      </c>
      <c r="AT50">
        <v>2.64</v>
      </c>
      <c r="AU50" t="s">
        <v>3</v>
      </c>
      <c r="AV50">
        <v>0</v>
      </c>
      <c r="AW50">
        <v>2</v>
      </c>
      <c r="AX50">
        <v>38799974</v>
      </c>
      <c r="AY50">
        <v>1</v>
      </c>
      <c r="AZ50">
        <v>0</v>
      </c>
      <c r="BA50">
        <v>49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CX50">
        <f>Y50*Source!I82</f>
        <v>2.5344000000000002</v>
      </c>
      <c r="CY50">
        <f>AB50</f>
        <v>531.41</v>
      </c>
      <c r="CZ50">
        <f>AF50</f>
        <v>531.41</v>
      </c>
      <c r="DA50">
        <f>AJ50</f>
        <v>1</v>
      </c>
      <c r="DB50">
        <f t="shared" si="2"/>
        <v>1402.92</v>
      </c>
      <c r="DC50">
        <f t="shared" si="3"/>
        <v>986.2</v>
      </c>
    </row>
    <row r="51" spans="1:107" x14ac:dyDescent="0.2">
      <c r="A51">
        <f>ROW(Source!A82)</f>
        <v>82</v>
      </c>
      <c r="B51">
        <v>38799519</v>
      </c>
      <c r="C51">
        <v>38799789</v>
      </c>
      <c r="D51">
        <v>38465122</v>
      </c>
      <c r="E51">
        <v>1</v>
      </c>
      <c r="F51">
        <v>1</v>
      </c>
      <c r="G51">
        <v>27</v>
      </c>
      <c r="H51">
        <v>2</v>
      </c>
      <c r="I51" t="s">
        <v>456</v>
      </c>
      <c r="J51" t="s">
        <v>457</v>
      </c>
      <c r="K51" t="s">
        <v>458</v>
      </c>
      <c r="L51">
        <v>1368</v>
      </c>
      <c r="N51">
        <v>1011</v>
      </c>
      <c r="O51" t="s">
        <v>393</v>
      </c>
      <c r="P51" t="s">
        <v>393</v>
      </c>
      <c r="Q51">
        <v>1</v>
      </c>
      <c r="W51">
        <v>0</v>
      </c>
      <c r="X51">
        <v>-1222982568</v>
      </c>
      <c r="Y51">
        <v>1.18</v>
      </c>
      <c r="AA51">
        <v>0</v>
      </c>
      <c r="AB51">
        <v>7.44</v>
      </c>
      <c r="AC51">
        <v>0.98</v>
      </c>
      <c r="AD51">
        <v>0</v>
      </c>
      <c r="AE51">
        <v>0</v>
      </c>
      <c r="AF51">
        <v>7.44</v>
      </c>
      <c r="AG51">
        <v>0.98</v>
      </c>
      <c r="AH51">
        <v>0</v>
      </c>
      <c r="AI51">
        <v>1</v>
      </c>
      <c r="AJ51">
        <v>1</v>
      </c>
      <c r="AK51">
        <v>1</v>
      </c>
      <c r="AL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 t="s">
        <v>3</v>
      </c>
      <c r="AT51">
        <v>1.18</v>
      </c>
      <c r="AU51" t="s">
        <v>3</v>
      </c>
      <c r="AV51">
        <v>0</v>
      </c>
      <c r="AW51">
        <v>2</v>
      </c>
      <c r="AX51">
        <v>38799975</v>
      </c>
      <c r="AY51">
        <v>1</v>
      </c>
      <c r="AZ51">
        <v>0</v>
      </c>
      <c r="BA51">
        <v>50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CX51">
        <f>Y51*Source!I82</f>
        <v>1.1327999999999998</v>
      </c>
      <c r="CY51">
        <f>AB51</f>
        <v>7.44</v>
      </c>
      <c r="CZ51">
        <f>AF51</f>
        <v>7.44</v>
      </c>
      <c r="DA51">
        <f>AJ51</f>
        <v>1</v>
      </c>
      <c r="DB51">
        <f t="shared" si="2"/>
        <v>8.7799999999999994</v>
      </c>
      <c r="DC51">
        <f t="shared" si="3"/>
        <v>1.1599999999999999</v>
      </c>
    </row>
    <row r="52" spans="1:107" x14ac:dyDescent="0.2">
      <c r="A52">
        <f>ROW(Source!A82)</f>
        <v>82</v>
      </c>
      <c r="B52">
        <v>38799519</v>
      </c>
      <c r="C52">
        <v>38799789</v>
      </c>
      <c r="D52">
        <v>38464324</v>
      </c>
      <c r="E52">
        <v>1</v>
      </c>
      <c r="F52">
        <v>1</v>
      </c>
      <c r="G52">
        <v>27</v>
      </c>
      <c r="H52">
        <v>2</v>
      </c>
      <c r="I52" t="s">
        <v>459</v>
      </c>
      <c r="J52" t="s">
        <v>460</v>
      </c>
      <c r="K52" t="s">
        <v>461</v>
      </c>
      <c r="L52">
        <v>1368</v>
      </c>
      <c r="N52">
        <v>1011</v>
      </c>
      <c r="O52" t="s">
        <v>393</v>
      </c>
      <c r="P52" t="s">
        <v>393</v>
      </c>
      <c r="Q52">
        <v>1</v>
      </c>
      <c r="W52">
        <v>0</v>
      </c>
      <c r="X52">
        <v>-929482187</v>
      </c>
      <c r="Y52">
        <v>0.01</v>
      </c>
      <c r="AA52">
        <v>0</v>
      </c>
      <c r="AB52">
        <v>616.73</v>
      </c>
      <c r="AC52">
        <v>511.29</v>
      </c>
      <c r="AD52">
        <v>0</v>
      </c>
      <c r="AE52">
        <v>0</v>
      </c>
      <c r="AF52">
        <v>616.73</v>
      </c>
      <c r="AG52">
        <v>511.29</v>
      </c>
      <c r="AH52">
        <v>0</v>
      </c>
      <c r="AI52">
        <v>1</v>
      </c>
      <c r="AJ52">
        <v>1</v>
      </c>
      <c r="AK52">
        <v>1</v>
      </c>
      <c r="AL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 t="s">
        <v>3</v>
      </c>
      <c r="AT52">
        <v>0.01</v>
      </c>
      <c r="AU52" t="s">
        <v>3</v>
      </c>
      <c r="AV52">
        <v>0</v>
      </c>
      <c r="AW52">
        <v>2</v>
      </c>
      <c r="AX52">
        <v>38799976</v>
      </c>
      <c r="AY52">
        <v>1</v>
      </c>
      <c r="AZ52">
        <v>0</v>
      </c>
      <c r="BA52">
        <v>51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CX52">
        <f>Y52*Source!I82</f>
        <v>9.5999999999999992E-3</v>
      </c>
      <c r="CY52">
        <f>AB52</f>
        <v>616.73</v>
      </c>
      <c r="CZ52">
        <f>AF52</f>
        <v>616.73</v>
      </c>
      <c r="DA52">
        <f>AJ52</f>
        <v>1</v>
      </c>
      <c r="DB52">
        <f t="shared" si="2"/>
        <v>6.17</v>
      </c>
      <c r="DC52">
        <f t="shared" si="3"/>
        <v>5.1100000000000003</v>
      </c>
    </row>
    <row r="53" spans="1:107" x14ac:dyDescent="0.2">
      <c r="A53">
        <f>ROW(Source!A82)</f>
        <v>82</v>
      </c>
      <c r="B53">
        <v>38799519</v>
      </c>
      <c r="C53">
        <v>38799789</v>
      </c>
      <c r="D53">
        <v>38464508</v>
      </c>
      <c r="E53">
        <v>1</v>
      </c>
      <c r="F53">
        <v>1</v>
      </c>
      <c r="G53">
        <v>27</v>
      </c>
      <c r="H53">
        <v>2</v>
      </c>
      <c r="I53" t="s">
        <v>462</v>
      </c>
      <c r="J53" t="s">
        <v>463</v>
      </c>
      <c r="K53" t="s">
        <v>464</v>
      </c>
      <c r="L53">
        <v>1368</v>
      </c>
      <c r="N53">
        <v>1011</v>
      </c>
      <c r="O53" t="s">
        <v>393</v>
      </c>
      <c r="P53" t="s">
        <v>393</v>
      </c>
      <c r="Q53">
        <v>1</v>
      </c>
      <c r="W53">
        <v>0</v>
      </c>
      <c r="X53">
        <v>1948933241</v>
      </c>
      <c r="Y53">
        <v>2.64</v>
      </c>
      <c r="AA53">
        <v>0</v>
      </c>
      <c r="AB53">
        <v>454.31</v>
      </c>
      <c r="AC53">
        <v>405.68</v>
      </c>
      <c r="AD53">
        <v>0</v>
      </c>
      <c r="AE53">
        <v>0</v>
      </c>
      <c r="AF53">
        <v>454.31</v>
      </c>
      <c r="AG53">
        <v>405.68</v>
      </c>
      <c r="AH53">
        <v>0</v>
      </c>
      <c r="AI53">
        <v>1</v>
      </c>
      <c r="AJ53">
        <v>1</v>
      </c>
      <c r="AK53">
        <v>1</v>
      </c>
      <c r="AL53">
        <v>1</v>
      </c>
      <c r="AN53">
        <v>0</v>
      </c>
      <c r="AO53">
        <v>1</v>
      </c>
      <c r="AP53">
        <v>0</v>
      </c>
      <c r="AQ53">
        <v>0</v>
      </c>
      <c r="AR53">
        <v>0</v>
      </c>
      <c r="AS53" t="s">
        <v>3</v>
      </c>
      <c r="AT53">
        <v>2.64</v>
      </c>
      <c r="AU53" t="s">
        <v>3</v>
      </c>
      <c r="AV53">
        <v>0</v>
      </c>
      <c r="AW53">
        <v>2</v>
      </c>
      <c r="AX53">
        <v>38799977</v>
      </c>
      <c r="AY53">
        <v>1</v>
      </c>
      <c r="AZ53">
        <v>0</v>
      </c>
      <c r="BA53">
        <v>52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CX53">
        <f>Y53*Source!I82</f>
        <v>2.5344000000000002</v>
      </c>
      <c r="CY53">
        <f>AB53</f>
        <v>454.31</v>
      </c>
      <c r="CZ53">
        <f>AF53</f>
        <v>454.31</v>
      </c>
      <c r="DA53">
        <f>AJ53</f>
        <v>1</v>
      </c>
      <c r="DB53">
        <f t="shared" si="2"/>
        <v>1199.3800000000001</v>
      </c>
      <c r="DC53">
        <f t="shared" si="3"/>
        <v>1071</v>
      </c>
    </row>
    <row r="54" spans="1:107" x14ac:dyDescent="0.2">
      <c r="A54">
        <f>ROW(Source!A82)</f>
        <v>82</v>
      </c>
      <c r="B54">
        <v>38799519</v>
      </c>
      <c r="C54">
        <v>38799789</v>
      </c>
      <c r="D54">
        <v>38467332</v>
      </c>
      <c r="E54">
        <v>1</v>
      </c>
      <c r="F54">
        <v>1</v>
      </c>
      <c r="G54">
        <v>27</v>
      </c>
      <c r="H54">
        <v>3</v>
      </c>
      <c r="I54" t="s">
        <v>465</v>
      </c>
      <c r="J54" t="s">
        <v>466</v>
      </c>
      <c r="K54" t="s">
        <v>467</v>
      </c>
      <c r="L54">
        <v>1327</v>
      </c>
      <c r="N54">
        <v>1005</v>
      </c>
      <c r="O54" t="s">
        <v>289</v>
      </c>
      <c r="P54" t="s">
        <v>289</v>
      </c>
      <c r="Q54">
        <v>1</v>
      </c>
      <c r="W54">
        <v>0</v>
      </c>
      <c r="X54">
        <v>-656702110</v>
      </c>
      <c r="Y54">
        <v>5.6</v>
      </c>
      <c r="AA54">
        <v>12.02</v>
      </c>
      <c r="AB54">
        <v>0</v>
      </c>
      <c r="AC54">
        <v>0</v>
      </c>
      <c r="AD54">
        <v>0</v>
      </c>
      <c r="AE54">
        <v>12.02</v>
      </c>
      <c r="AF54">
        <v>0</v>
      </c>
      <c r="AG54">
        <v>0</v>
      </c>
      <c r="AH54">
        <v>0</v>
      </c>
      <c r="AI54">
        <v>1</v>
      </c>
      <c r="AJ54">
        <v>1</v>
      </c>
      <c r="AK54">
        <v>1</v>
      </c>
      <c r="AL54">
        <v>1</v>
      </c>
      <c r="AN54">
        <v>0</v>
      </c>
      <c r="AO54">
        <v>1</v>
      </c>
      <c r="AP54">
        <v>0</v>
      </c>
      <c r="AQ54">
        <v>0</v>
      </c>
      <c r="AR54">
        <v>0</v>
      </c>
      <c r="AS54" t="s">
        <v>3</v>
      </c>
      <c r="AT54">
        <v>5.6</v>
      </c>
      <c r="AU54" t="s">
        <v>3</v>
      </c>
      <c r="AV54">
        <v>0</v>
      </c>
      <c r="AW54">
        <v>2</v>
      </c>
      <c r="AX54">
        <v>38799978</v>
      </c>
      <c r="AY54">
        <v>1</v>
      </c>
      <c r="AZ54">
        <v>0</v>
      </c>
      <c r="BA54">
        <v>53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CX54">
        <f>Y54*Source!I82</f>
        <v>5.3759999999999994</v>
      </c>
      <c r="CY54">
        <f>AA54</f>
        <v>12.02</v>
      </c>
      <c r="CZ54">
        <f>AE54</f>
        <v>12.02</v>
      </c>
      <c r="DA54">
        <f>AI54</f>
        <v>1</v>
      </c>
      <c r="DB54">
        <f t="shared" si="2"/>
        <v>67.31</v>
      </c>
      <c r="DC54">
        <f t="shared" si="3"/>
        <v>0</v>
      </c>
    </row>
    <row r="55" spans="1:107" x14ac:dyDescent="0.2">
      <c r="A55">
        <f>ROW(Source!A82)</f>
        <v>82</v>
      </c>
      <c r="B55">
        <v>38799519</v>
      </c>
      <c r="C55">
        <v>38799789</v>
      </c>
      <c r="D55">
        <v>38467419</v>
      </c>
      <c r="E55">
        <v>1</v>
      </c>
      <c r="F55">
        <v>1</v>
      </c>
      <c r="G55">
        <v>27</v>
      </c>
      <c r="H55">
        <v>3</v>
      </c>
      <c r="I55" t="s">
        <v>468</v>
      </c>
      <c r="J55" t="s">
        <v>469</v>
      </c>
      <c r="K55" t="s">
        <v>470</v>
      </c>
      <c r="L55">
        <v>1348</v>
      </c>
      <c r="N55">
        <v>1009</v>
      </c>
      <c r="O55" t="s">
        <v>155</v>
      </c>
      <c r="P55" t="s">
        <v>155</v>
      </c>
      <c r="Q55">
        <v>1000</v>
      </c>
      <c r="W55">
        <v>0</v>
      </c>
      <c r="X55">
        <v>2135985724</v>
      </c>
      <c r="Y55">
        <v>3.15E-3</v>
      </c>
      <c r="AA55">
        <v>343020.03</v>
      </c>
      <c r="AB55">
        <v>0</v>
      </c>
      <c r="AC55">
        <v>0</v>
      </c>
      <c r="AD55">
        <v>0</v>
      </c>
      <c r="AE55">
        <v>343020.03</v>
      </c>
      <c r="AF55">
        <v>0</v>
      </c>
      <c r="AG55">
        <v>0</v>
      </c>
      <c r="AH55">
        <v>0</v>
      </c>
      <c r="AI55">
        <v>1</v>
      </c>
      <c r="AJ55">
        <v>1</v>
      </c>
      <c r="AK55">
        <v>1</v>
      </c>
      <c r="AL55">
        <v>1</v>
      </c>
      <c r="AN55">
        <v>0</v>
      </c>
      <c r="AO55">
        <v>1</v>
      </c>
      <c r="AP55">
        <v>0</v>
      </c>
      <c r="AQ55">
        <v>0</v>
      </c>
      <c r="AR55">
        <v>0</v>
      </c>
      <c r="AS55" t="s">
        <v>3</v>
      </c>
      <c r="AT55">
        <v>3.15E-3</v>
      </c>
      <c r="AU55" t="s">
        <v>3</v>
      </c>
      <c r="AV55">
        <v>0</v>
      </c>
      <c r="AW55">
        <v>2</v>
      </c>
      <c r="AX55">
        <v>38799979</v>
      </c>
      <c r="AY55">
        <v>1</v>
      </c>
      <c r="AZ55">
        <v>0</v>
      </c>
      <c r="BA55">
        <v>54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CX55">
        <f>Y55*Source!I82</f>
        <v>3.0239999999999998E-3</v>
      </c>
      <c r="CY55">
        <f>AA55</f>
        <v>343020.03</v>
      </c>
      <c r="CZ55">
        <f>AE55</f>
        <v>343020.03</v>
      </c>
      <c r="DA55">
        <f>AI55</f>
        <v>1</v>
      </c>
      <c r="DB55">
        <f t="shared" si="2"/>
        <v>1080.51</v>
      </c>
      <c r="DC55">
        <f t="shared" si="3"/>
        <v>0</v>
      </c>
    </row>
    <row r="56" spans="1:107" x14ac:dyDescent="0.2">
      <c r="A56">
        <f>ROW(Source!A82)</f>
        <v>82</v>
      </c>
      <c r="B56">
        <v>38799519</v>
      </c>
      <c r="C56">
        <v>38799789</v>
      </c>
      <c r="D56">
        <v>38467636</v>
      </c>
      <c r="E56">
        <v>1</v>
      </c>
      <c r="F56">
        <v>1</v>
      </c>
      <c r="G56">
        <v>27</v>
      </c>
      <c r="H56">
        <v>3</v>
      </c>
      <c r="I56" t="s">
        <v>471</v>
      </c>
      <c r="J56" t="s">
        <v>472</v>
      </c>
      <c r="K56" t="s">
        <v>473</v>
      </c>
      <c r="L56">
        <v>1346</v>
      </c>
      <c r="N56">
        <v>1009</v>
      </c>
      <c r="O56" t="s">
        <v>474</v>
      </c>
      <c r="P56" t="s">
        <v>474</v>
      </c>
      <c r="Q56">
        <v>1</v>
      </c>
      <c r="W56">
        <v>0</v>
      </c>
      <c r="X56">
        <v>-78256104</v>
      </c>
      <c r="Y56">
        <v>735</v>
      </c>
      <c r="AA56">
        <v>17.77</v>
      </c>
      <c r="AB56">
        <v>0</v>
      </c>
      <c r="AC56">
        <v>0</v>
      </c>
      <c r="AD56">
        <v>0</v>
      </c>
      <c r="AE56">
        <v>17.77</v>
      </c>
      <c r="AF56">
        <v>0</v>
      </c>
      <c r="AG56">
        <v>0</v>
      </c>
      <c r="AH56">
        <v>0</v>
      </c>
      <c r="AI56">
        <v>1</v>
      </c>
      <c r="AJ56">
        <v>1</v>
      </c>
      <c r="AK56">
        <v>1</v>
      </c>
      <c r="AL56">
        <v>1</v>
      </c>
      <c r="AN56">
        <v>0</v>
      </c>
      <c r="AO56">
        <v>1</v>
      </c>
      <c r="AP56">
        <v>0</v>
      </c>
      <c r="AQ56">
        <v>0</v>
      </c>
      <c r="AR56">
        <v>0</v>
      </c>
      <c r="AS56" t="s">
        <v>3</v>
      </c>
      <c r="AT56">
        <v>735</v>
      </c>
      <c r="AU56" t="s">
        <v>3</v>
      </c>
      <c r="AV56">
        <v>0</v>
      </c>
      <c r="AW56">
        <v>2</v>
      </c>
      <c r="AX56">
        <v>38799980</v>
      </c>
      <c r="AY56">
        <v>1</v>
      </c>
      <c r="AZ56">
        <v>0</v>
      </c>
      <c r="BA56">
        <v>55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CX56">
        <f>Y56*Source!I82</f>
        <v>705.6</v>
      </c>
      <c r="CY56">
        <f>AA56</f>
        <v>17.77</v>
      </c>
      <c r="CZ56">
        <f>AE56</f>
        <v>17.77</v>
      </c>
      <c r="DA56">
        <f>AI56</f>
        <v>1</v>
      </c>
      <c r="DB56">
        <f t="shared" si="2"/>
        <v>13060.95</v>
      </c>
      <c r="DC56">
        <f t="shared" si="3"/>
        <v>0</v>
      </c>
    </row>
    <row r="57" spans="1:107" x14ac:dyDescent="0.2">
      <c r="A57">
        <f>ROW(Source!A82)</f>
        <v>82</v>
      </c>
      <c r="B57">
        <v>38799519</v>
      </c>
      <c r="C57">
        <v>38799789</v>
      </c>
      <c r="D57">
        <v>38467643</v>
      </c>
      <c r="E57">
        <v>1</v>
      </c>
      <c r="F57">
        <v>1</v>
      </c>
      <c r="G57">
        <v>27</v>
      </c>
      <c r="H57">
        <v>3</v>
      </c>
      <c r="I57" t="s">
        <v>475</v>
      </c>
      <c r="J57" t="s">
        <v>476</v>
      </c>
      <c r="K57" t="s">
        <v>477</v>
      </c>
      <c r="L57">
        <v>1346</v>
      </c>
      <c r="N57">
        <v>1009</v>
      </c>
      <c r="O57" t="s">
        <v>474</v>
      </c>
      <c r="P57" t="s">
        <v>474</v>
      </c>
      <c r="Q57">
        <v>1</v>
      </c>
      <c r="W57">
        <v>0</v>
      </c>
      <c r="X57">
        <v>1434584530</v>
      </c>
      <c r="Y57">
        <v>241.5</v>
      </c>
      <c r="AA57">
        <v>202.34</v>
      </c>
      <c r="AB57">
        <v>0</v>
      </c>
      <c r="AC57">
        <v>0</v>
      </c>
      <c r="AD57">
        <v>0</v>
      </c>
      <c r="AE57">
        <v>202.34</v>
      </c>
      <c r="AF57">
        <v>0</v>
      </c>
      <c r="AG57">
        <v>0</v>
      </c>
      <c r="AH57">
        <v>0</v>
      </c>
      <c r="AI57">
        <v>1</v>
      </c>
      <c r="AJ57">
        <v>1</v>
      </c>
      <c r="AK57">
        <v>1</v>
      </c>
      <c r="AL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 t="s">
        <v>3</v>
      </c>
      <c r="AT57">
        <v>241.5</v>
      </c>
      <c r="AU57" t="s">
        <v>3</v>
      </c>
      <c r="AV57">
        <v>0</v>
      </c>
      <c r="AW57">
        <v>2</v>
      </c>
      <c r="AX57">
        <v>38799981</v>
      </c>
      <c r="AY57">
        <v>1</v>
      </c>
      <c r="AZ57">
        <v>0</v>
      </c>
      <c r="BA57">
        <v>56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CX57">
        <f>Y57*Source!I82</f>
        <v>231.84</v>
      </c>
      <c r="CY57">
        <f>AA57</f>
        <v>202.34</v>
      </c>
      <c r="CZ57">
        <f>AE57</f>
        <v>202.34</v>
      </c>
      <c r="DA57">
        <f>AI57</f>
        <v>1</v>
      </c>
      <c r="DB57">
        <f t="shared" si="2"/>
        <v>48865.11</v>
      </c>
      <c r="DC57">
        <f t="shared" si="3"/>
        <v>0</v>
      </c>
    </row>
    <row r="58" spans="1:107" x14ac:dyDescent="0.2">
      <c r="A58">
        <f>ROW(Source!A82)</f>
        <v>82</v>
      </c>
      <c r="B58">
        <v>38799519</v>
      </c>
      <c r="C58">
        <v>38799789</v>
      </c>
      <c r="D58">
        <v>38465610</v>
      </c>
      <c r="E58">
        <v>1</v>
      </c>
      <c r="F58">
        <v>1</v>
      </c>
      <c r="G58">
        <v>27</v>
      </c>
      <c r="H58">
        <v>3</v>
      </c>
      <c r="I58" t="s">
        <v>478</v>
      </c>
      <c r="J58" t="s">
        <v>479</v>
      </c>
      <c r="K58" t="s">
        <v>480</v>
      </c>
      <c r="L58">
        <v>1348</v>
      </c>
      <c r="N58">
        <v>1009</v>
      </c>
      <c r="O58" t="s">
        <v>155</v>
      </c>
      <c r="P58" t="s">
        <v>155</v>
      </c>
      <c r="Q58">
        <v>1000</v>
      </c>
      <c r="W58">
        <v>0</v>
      </c>
      <c r="X58">
        <v>-629368275</v>
      </c>
      <c r="Y58">
        <v>5.2499999999999998E-2</v>
      </c>
      <c r="AA58">
        <v>748299.67</v>
      </c>
      <c r="AB58">
        <v>0</v>
      </c>
      <c r="AC58">
        <v>0</v>
      </c>
      <c r="AD58">
        <v>0</v>
      </c>
      <c r="AE58">
        <v>748299.67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1</v>
      </c>
      <c r="AL58">
        <v>1</v>
      </c>
      <c r="AN58">
        <v>0</v>
      </c>
      <c r="AO58">
        <v>1</v>
      </c>
      <c r="AP58">
        <v>0</v>
      </c>
      <c r="AQ58">
        <v>0</v>
      </c>
      <c r="AR58">
        <v>0</v>
      </c>
      <c r="AS58" t="s">
        <v>3</v>
      </c>
      <c r="AT58">
        <v>5.2499999999999998E-2</v>
      </c>
      <c r="AU58" t="s">
        <v>3</v>
      </c>
      <c r="AV58">
        <v>0</v>
      </c>
      <c r="AW58">
        <v>2</v>
      </c>
      <c r="AX58">
        <v>38799982</v>
      </c>
      <c r="AY58">
        <v>1</v>
      </c>
      <c r="AZ58">
        <v>0</v>
      </c>
      <c r="BA58">
        <v>57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CX58">
        <f>Y58*Source!I82</f>
        <v>5.0399999999999993E-2</v>
      </c>
      <c r="CY58">
        <f>AA58</f>
        <v>748299.67</v>
      </c>
      <c r="CZ58">
        <f>AE58</f>
        <v>748299.67</v>
      </c>
      <c r="DA58">
        <f>AI58</f>
        <v>1</v>
      </c>
      <c r="DB58">
        <f t="shared" si="2"/>
        <v>39285.730000000003</v>
      </c>
      <c r="DC58">
        <f t="shared" si="3"/>
        <v>0</v>
      </c>
    </row>
    <row r="59" spans="1:107" x14ac:dyDescent="0.2">
      <c r="A59">
        <f>ROW(Source!A83)</f>
        <v>83</v>
      </c>
      <c r="B59">
        <v>38799519</v>
      </c>
      <c r="C59">
        <v>38799810</v>
      </c>
      <c r="D59">
        <v>38451941</v>
      </c>
      <c r="E59">
        <v>27</v>
      </c>
      <c r="F59">
        <v>1</v>
      </c>
      <c r="G59">
        <v>27</v>
      </c>
      <c r="H59">
        <v>1</v>
      </c>
      <c r="I59" t="s">
        <v>387</v>
      </c>
      <c r="J59" t="s">
        <v>3</v>
      </c>
      <c r="K59" t="s">
        <v>388</v>
      </c>
      <c r="L59">
        <v>1191</v>
      </c>
      <c r="N59">
        <v>1013</v>
      </c>
      <c r="O59" t="s">
        <v>389</v>
      </c>
      <c r="P59" t="s">
        <v>389</v>
      </c>
      <c r="Q59">
        <v>1</v>
      </c>
      <c r="W59">
        <v>0</v>
      </c>
      <c r="X59">
        <v>476480486</v>
      </c>
      <c r="Y59">
        <v>582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1</v>
      </c>
      <c r="AK59">
        <v>1</v>
      </c>
      <c r="AL59">
        <v>1</v>
      </c>
      <c r="AN59">
        <v>0</v>
      </c>
      <c r="AO59">
        <v>1</v>
      </c>
      <c r="AP59">
        <v>0</v>
      </c>
      <c r="AQ59">
        <v>0</v>
      </c>
      <c r="AR59">
        <v>0</v>
      </c>
      <c r="AS59" t="s">
        <v>3</v>
      </c>
      <c r="AT59">
        <v>582</v>
      </c>
      <c r="AU59" t="s">
        <v>3</v>
      </c>
      <c r="AV59">
        <v>1</v>
      </c>
      <c r="AW59">
        <v>2</v>
      </c>
      <c r="AX59">
        <v>38799983</v>
      </c>
      <c r="AY59">
        <v>1</v>
      </c>
      <c r="AZ59">
        <v>0</v>
      </c>
      <c r="BA59">
        <v>58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CX59">
        <f>Y59*Source!I83</f>
        <v>1.3967999999999998</v>
      </c>
      <c r="CY59">
        <f>AD59</f>
        <v>0</v>
      </c>
      <c r="CZ59">
        <f>AH59</f>
        <v>0</v>
      </c>
      <c r="DA59">
        <f>AL59</f>
        <v>1</v>
      </c>
      <c r="DB59">
        <f t="shared" si="2"/>
        <v>0</v>
      </c>
      <c r="DC59">
        <f t="shared" si="3"/>
        <v>0</v>
      </c>
    </row>
    <row r="60" spans="1:107" x14ac:dyDescent="0.2">
      <c r="A60">
        <f>ROW(Source!A84)</f>
        <v>84</v>
      </c>
      <c r="B60">
        <v>38799519</v>
      </c>
      <c r="C60">
        <v>38799813</v>
      </c>
      <c r="D60">
        <v>38451941</v>
      </c>
      <c r="E60">
        <v>27</v>
      </c>
      <c r="F60">
        <v>1</v>
      </c>
      <c r="G60">
        <v>27</v>
      </c>
      <c r="H60">
        <v>1</v>
      </c>
      <c r="I60" t="s">
        <v>387</v>
      </c>
      <c r="J60" t="s">
        <v>3</v>
      </c>
      <c r="K60" t="s">
        <v>388</v>
      </c>
      <c r="L60">
        <v>1191</v>
      </c>
      <c r="N60">
        <v>1013</v>
      </c>
      <c r="O60" t="s">
        <v>389</v>
      </c>
      <c r="P60" t="s">
        <v>389</v>
      </c>
      <c r="Q60">
        <v>1</v>
      </c>
      <c r="W60">
        <v>0</v>
      </c>
      <c r="X60">
        <v>476480486</v>
      </c>
      <c r="Y60">
        <v>155.25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1</v>
      </c>
      <c r="AK60">
        <v>1</v>
      </c>
      <c r="AL60">
        <v>1</v>
      </c>
      <c r="AN60">
        <v>0</v>
      </c>
      <c r="AO60">
        <v>1</v>
      </c>
      <c r="AP60">
        <v>0</v>
      </c>
      <c r="AQ60">
        <v>0</v>
      </c>
      <c r="AR60">
        <v>0</v>
      </c>
      <c r="AS60" t="s">
        <v>3</v>
      </c>
      <c r="AT60">
        <v>155.25</v>
      </c>
      <c r="AU60" t="s">
        <v>3</v>
      </c>
      <c r="AV60">
        <v>1</v>
      </c>
      <c r="AW60">
        <v>2</v>
      </c>
      <c r="AX60">
        <v>38799984</v>
      </c>
      <c r="AY60">
        <v>1</v>
      </c>
      <c r="AZ60">
        <v>0</v>
      </c>
      <c r="BA60">
        <v>59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CX60">
        <f>Y60*Source!I84</f>
        <v>2.4840000000000001E-2</v>
      </c>
      <c r="CY60">
        <f>AD60</f>
        <v>0</v>
      </c>
      <c r="CZ60">
        <f>AH60</f>
        <v>0</v>
      </c>
      <c r="DA60">
        <f>AL60</f>
        <v>1</v>
      </c>
      <c r="DB60">
        <f t="shared" si="2"/>
        <v>0</v>
      </c>
      <c r="DC60">
        <f t="shared" si="3"/>
        <v>0</v>
      </c>
    </row>
    <row r="61" spans="1:107" x14ac:dyDescent="0.2">
      <c r="A61">
        <f>ROW(Source!A84)</f>
        <v>84</v>
      </c>
      <c r="B61">
        <v>38799519</v>
      </c>
      <c r="C61">
        <v>38799813</v>
      </c>
      <c r="D61">
        <v>38464496</v>
      </c>
      <c r="E61">
        <v>1</v>
      </c>
      <c r="F61">
        <v>1</v>
      </c>
      <c r="G61">
        <v>27</v>
      </c>
      <c r="H61">
        <v>2</v>
      </c>
      <c r="I61" t="s">
        <v>481</v>
      </c>
      <c r="J61" t="s">
        <v>482</v>
      </c>
      <c r="K61" t="s">
        <v>483</v>
      </c>
      <c r="L61">
        <v>1368</v>
      </c>
      <c r="N61">
        <v>1011</v>
      </c>
      <c r="O61" t="s">
        <v>393</v>
      </c>
      <c r="P61" t="s">
        <v>393</v>
      </c>
      <c r="Q61">
        <v>1</v>
      </c>
      <c r="W61">
        <v>0</v>
      </c>
      <c r="X61">
        <v>-192782718</v>
      </c>
      <c r="Y61">
        <v>7.41</v>
      </c>
      <c r="AA61">
        <v>0</v>
      </c>
      <c r="AB61">
        <v>3.84</v>
      </c>
      <c r="AC61">
        <v>0.01</v>
      </c>
      <c r="AD61">
        <v>0</v>
      </c>
      <c r="AE61">
        <v>0</v>
      </c>
      <c r="AF61">
        <v>3.84</v>
      </c>
      <c r="AG61">
        <v>0.01</v>
      </c>
      <c r="AH61">
        <v>0</v>
      </c>
      <c r="AI61">
        <v>1</v>
      </c>
      <c r="AJ61">
        <v>1</v>
      </c>
      <c r="AK61">
        <v>1</v>
      </c>
      <c r="AL61">
        <v>1</v>
      </c>
      <c r="AN61">
        <v>0</v>
      </c>
      <c r="AO61">
        <v>1</v>
      </c>
      <c r="AP61">
        <v>0</v>
      </c>
      <c r="AQ61">
        <v>0</v>
      </c>
      <c r="AR61">
        <v>0</v>
      </c>
      <c r="AS61" t="s">
        <v>3</v>
      </c>
      <c r="AT61">
        <v>7.41</v>
      </c>
      <c r="AU61" t="s">
        <v>3</v>
      </c>
      <c r="AV61">
        <v>0</v>
      </c>
      <c r="AW61">
        <v>2</v>
      </c>
      <c r="AX61">
        <v>38799985</v>
      </c>
      <c r="AY61">
        <v>1</v>
      </c>
      <c r="AZ61">
        <v>0</v>
      </c>
      <c r="BA61">
        <v>60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CX61">
        <f>Y61*Source!I84</f>
        <v>1.1856000000000002E-3</v>
      </c>
      <c r="CY61">
        <f>AB61</f>
        <v>3.84</v>
      </c>
      <c r="CZ61">
        <f>AF61</f>
        <v>3.84</v>
      </c>
      <c r="DA61">
        <f>AJ61</f>
        <v>1</v>
      </c>
      <c r="DB61">
        <f t="shared" si="2"/>
        <v>28.45</v>
      </c>
      <c r="DC61">
        <f t="shared" si="3"/>
        <v>7.0000000000000007E-2</v>
      </c>
    </row>
    <row r="62" spans="1:107" x14ac:dyDescent="0.2">
      <c r="A62">
        <f>ROW(Source!A84)</f>
        <v>84</v>
      </c>
      <c r="B62">
        <v>38799519</v>
      </c>
      <c r="C62">
        <v>38799813</v>
      </c>
      <c r="D62">
        <v>38466934</v>
      </c>
      <c r="E62">
        <v>1</v>
      </c>
      <c r="F62">
        <v>1</v>
      </c>
      <c r="G62">
        <v>27</v>
      </c>
      <c r="H62">
        <v>3</v>
      </c>
      <c r="I62" t="s">
        <v>484</v>
      </c>
      <c r="J62" t="s">
        <v>485</v>
      </c>
      <c r="K62" t="s">
        <v>486</v>
      </c>
      <c r="L62">
        <v>1327</v>
      </c>
      <c r="N62">
        <v>1005</v>
      </c>
      <c r="O62" t="s">
        <v>289</v>
      </c>
      <c r="P62" t="s">
        <v>289</v>
      </c>
      <c r="Q62">
        <v>1</v>
      </c>
      <c r="W62">
        <v>0</v>
      </c>
      <c r="X62">
        <v>-1493859615</v>
      </c>
      <c r="Y62">
        <v>250</v>
      </c>
      <c r="AA62">
        <v>91.89</v>
      </c>
      <c r="AB62">
        <v>0</v>
      </c>
      <c r="AC62">
        <v>0</v>
      </c>
      <c r="AD62">
        <v>0</v>
      </c>
      <c r="AE62">
        <v>91.89</v>
      </c>
      <c r="AF62">
        <v>0</v>
      </c>
      <c r="AG62">
        <v>0</v>
      </c>
      <c r="AH62">
        <v>0</v>
      </c>
      <c r="AI62">
        <v>1</v>
      </c>
      <c r="AJ62">
        <v>1</v>
      </c>
      <c r="AK62">
        <v>1</v>
      </c>
      <c r="AL62">
        <v>1</v>
      </c>
      <c r="AN62">
        <v>0</v>
      </c>
      <c r="AO62">
        <v>1</v>
      </c>
      <c r="AP62">
        <v>0</v>
      </c>
      <c r="AQ62">
        <v>0</v>
      </c>
      <c r="AR62">
        <v>0</v>
      </c>
      <c r="AS62" t="s">
        <v>3</v>
      </c>
      <c r="AT62">
        <v>250</v>
      </c>
      <c r="AU62" t="s">
        <v>3</v>
      </c>
      <c r="AV62">
        <v>0</v>
      </c>
      <c r="AW62">
        <v>2</v>
      </c>
      <c r="AX62">
        <v>38799986</v>
      </c>
      <c r="AY62">
        <v>1</v>
      </c>
      <c r="AZ62">
        <v>0</v>
      </c>
      <c r="BA62">
        <v>61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CX62">
        <f>Y62*Source!I84</f>
        <v>0.04</v>
      </c>
      <c r="CY62">
        <f>AA62</f>
        <v>91.89</v>
      </c>
      <c r="CZ62">
        <f>AE62</f>
        <v>91.89</v>
      </c>
      <c r="DA62">
        <f>AI62</f>
        <v>1</v>
      </c>
      <c r="DB62">
        <f t="shared" si="2"/>
        <v>22972.5</v>
      </c>
      <c r="DC62">
        <f t="shared" si="3"/>
        <v>0</v>
      </c>
    </row>
    <row r="63" spans="1:107" x14ac:dyDescent="0.2">
      <c r="A63">
        <f>ROW(Source!A84)</f>
        <v>84</v>
      </c>
      <c r="B63">
        <v>38799519</v>
      </c>
      <c r="C63">
        <v>38799813</v>
      </c>
      <c r="D63">
        <v>38467111</v>
      </c>
      <c r="E63">
        <v>1</v>
      </c>
      <c r="F63">
        <v>1</v>
      </c>
      <c r="G63">
        <v>27</v>
      </c>
      <c r="H63">
        <v>3</v>
      </c>
      <c r="I63" t="s">
        <v>487</v>
      </c>
      <c r="J63" t="s">
        <v>488</v>
      </c>
      <c r="K63" t="s">
        <v>489</v>
      </c>
      <c r="L63">
        <v>1339</v>
      </c>
      <c r="N63">
        <v>1007</v>
      </c>
      <c r="O63" t="s">
        <v>35</v>
      </c>
      <c r="P63" t="s">
        <v>35</v>
      </c>
      <c r="Q63">
        <v>1</v>
      </c>
      <c r="W63">
        <v>0</v>
      </c>
      <c r="X63">
        <v>2028445372</v>
      </c>
      <c r="Y63">
        <v>1.75</v>
      </c>
      <c r="AA63">
        <v>35.25</v>
      </c>
      <c r="AB63">
        <v>0</v>
      </c>
      <c r="AC63">
        <v>0</v>
      </c>
      <c r="AD63">
        <v>0</v>
      </c>
      <c r="AE63">
        <v>35.25</v>
      </c>
      <c r="AF63">
        <v>0</v>
      </c>
      <c r="AG63">
        <v>0</v>
      </c>
      <c r="AH63">
        <v>0</v>
      </c>
      <c r="AI63">
        <v>1</v>
      </c>
      <c r="AJ63">
        <v>1</v>
      </c>
      <c r="AK63">
        <v>1</v>
      </c>
      <c r="AL63">
        <v>1</v>
      </c>
      <c r="AN63">
        <v>0</v>
      </c>
      <c r="AO63">
        <v>1</v>
      </c>
      <c r="AP63">
        <v>0</v>
      </c>
      <c r="AQ63">
        <v>0</v>
      </c>
      <c r="AR63">
        <v>0</v>
      </c>
      <c r="AS63" t="s">
        <v>3</v>
      </c>
      <c r="AT63">
        <v>1.75</v>
      </c>
      <c r="AU63" t="s">
        <v>3</v>
      </c>
      <c r="AV63">
        <v>0</v>
      </c>
      <c r="AW63">
        <v>2</v>
      </c>
      <c r="AX63">
        <v>38799987</v>
      </c>
      <c r="AY63">
        <v>1</v>
      </c>
      <c r="AZ63">
        <v>0</v>
      </c>
      <c r="BA63">
        <v>62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CX63">
        <f>Y63*Source!I84</f>
        <v>2.8000000000000003E-4</v>
      </c>
      <c r="CY63">
        <f>AA63</f>
        <v>35.25</v>
      </c>
      <c r="CZ63">
        <f>AE63</f>
        <v>35.25</v>
      </c>
      <c r="DA63">
        <f>AI63</f>
        <v>1</v>
      </c>
      <c r="DB63">
        <f t="shared" si="2"/>
        <v>61.69</v>
      </c>
      <c r="DC63">
        <f t="shared" si="3"/>
        <v>0</v>
      </c>
    </row>
    <row r="64" spans="1:107" x14ac:dyDescent="0.2">
      <c r="A64">
        <f>ROW(Source!A84)</f>
        <v>84</v>
      </c>
      <c r="B64">
        <v>38799519</v>
      </c>
      <c r="C64">
        <v>38799813</v>
      </c>
      <c r="D64">
        <v>38468075</v>
      </c>
      <c r="E64">
        <v>1</v>
      </c>
      <c r="F64">
        <v>1</v>
      </c>
      <c r="G64">
        <v>27</v>
      </c>
      <c r="H64">
        <v>3</v>
      </c>
      <c r="I64" t="s">
        <v>490</v>
      </c>
      <c r="J64" t="s">
        <v>491</v>
      </c>
      <c r="K64" t="s">
        <v>492</v>
      </c>
      <c r="L64">
        <v>1339</v>
      </c>
      <c r="N64">
        <v>1007</v>
      </c>
      <c r="O64" t="s">
        <v>35</v>
      </c>
      <c r="P64" t="s">
        <v>35</v>
      </c>
      <c r="Q64">
        <v>1</v>
      </c>
      <c r="W64">
        <v>0</v>
      </c>
      <c r="X64">
        <v>339861588</v>
      </c>
      <c r="Y64">
        <v>102</v>
      </c>
      <c r="AA64">
        <v>3247.23</v>
      </c>
      <c r="AB64">
        <v>0</v>
      </c>
      <c r="AC64">
        <v>0</v>
      </c>
      <c r="AD64">
        <v>0</v>
      </c>
      <c r="AE64">
        <v>3247.23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N64">
        <v>0</v>
      </c>
      <c r="AO64">
        <v>1</v>
      </c>
      <c r="AP64">
        <v>0</v>
      </c>
      <c r="AQ64">
        <v>0</v>
      </c>
      <c r="AR64">
        <v>0</v>
      </c>
      <c r="AS64" t="s">
        <v>3</v>
      </c>
      <c r="AT64">
        <v>102</v>
      </c>
      <c r="AU64" t="s">
        <v>3</v>
      </c>
      <c r="AV64">
        <v>0</v>
      </c>
      <c r="AW64">
        <v>2</v>
      </c>
      <c r="AX64">
        <v>38799988</v>
      </c>
      <c r="AY64">
        <v>1</v>
      </c>
      <c r="AZ64">
        <v>0</v>
      </c>
      <c r="BA64">
        <v>63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CX64">
        <f>Y64*Source!I84</f>
        <v>1.6320000000000001E-2</v>
      </c>
      <c r="CY64">
        <f>AA64</f>
        <v>3247.23</v>
      </c>
      <c r="CZ64">
        <f>AE64</f>
        <v>3247.23</v>
      </c>
      <c r="DA64">
        <f>AI64</f>
        <v>1</v>
      </c>
      <c r="DB64">
        <f t="shared" si="2"/>
        <v>331217.46000000002</v>
      </c>
      <c r="DC64">
        <f t="shared" si="3"/>
        <v>0</v>
      </c>
    </row>
    <row r="65" spans="1:107" x14ac:dyDescent="0.2">
      <c r="A65">
        <f>ROW(Source!A85)</f>
        <v>85</v>
      </c>
      <c r="B65">
        <v>38799519</v>
      </c>
      <c r="C65">
        <v>38799833</v>
      </c>
      <c r="D65">
        <v>38451941</v>
      </c>
      <c r="E65">
        <v>27</v>
      </c>
      <c r="F65">
        <v>1</v>
      </c>
      <c r="G65">
        <v>27</v>
      </c>
      <c r="H65">
        <v>1</v>
      </c>
      <c r="I65" t="s">
        <v>387</v>
      </c>
      <c r="J65" t="s">
        <v>3</v>
      </c>
      <c r="K65" t="s">
        <v>388</v>
      </c>
      <c r="L65">
        <v>1191</v>
      </c>
      <c r="N65">
        <v>1013</v>
      </c>
      <c r="O65" t="s">
        <v>389</v>
      </c>
      <c r="P65" t="s">
        <v>389</v>
      </c>
      <c r="Q65">
        <v>1</v>
      </c>
      <c r="W65">
        <v>0</v>
      </c>
      <c r="X65">
        <v>476480486</v>
      </c>
      <c r="Y65">
        <v>48.88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1</v>
      </c>
      <c r="AK65">
        <v>1</v>
      </c>
      <c r="AL65">
        <v>1</v>
      </c>
      <c r="AN65">
        <v>0</v>
      </c>
      <c r="AO65">
        <v>1</v>
      </c>
      <c r="AP65">
        <v>0</v>
      </c>
      <c r="AQ65">
        <v>0</v>
      </c>
      <c r="AR65">
        <v>0</v>
      </c>
      <c r="AS65" t="s">
        <v>3</v>
      </c>
      <c r="AT65">
        <v>48.88</v>
      </c>
      <c r="AU65" t="s">
        <v>3</v>
      </c>
      <c r="AV65">
        <v>1</v>
      </c>
      <c r="AW65">
        <v>2</v>
      </c>
      <c r="AX65">
        <v>38799994</v>
      </c>
      <c r="AY65">
        <v>1</v>
      </c>
      <c r="AZ65">
        <v>0</v>
      </c>
      <c r="BA65">
        <v>64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CX65">
        <f>Y65*Source!I85</f>
        <v>32.757909600000005</v>
      </c>
      <c r="CY65">
        <f>AD65</f>
        <v>0</v>
      </c>
      <c r="CZ65">
        <f>AH65</f>
        <v>0</v>
      </c>
      <c r="DA65">
        <f>AL65</f>
        <v>1</v>
      </c>
      <c r="DB65">
        <f t="shared" si="2"/>
        <v>0</v>
      </c>
      <c r="DC65">
        <f t="shared" si="3"/>
        <v>0</v>
      </c>
    </row>
    <row r="66" spans="1:107" x14ac:dyDescent="0.2">
      <c r="A66">
        <f>ROW(Source!A85)</f>
        <v>85</v>
      </c>
      <c r="B66">
        <v>38799519</v>
      </c>
      <c r="C66">
        <v>38799833</v>
      </c>
      <c r="D66">
        <v>38464664</v>
      </c>
      <c r="E66">
        <v>1</v>
      </c>
      <c r="F66">
        <v>1</v>
      </c>
      <c r="G66">
        <v>27</v>
      </c>
      <c r="H66">
        <v>2</v>
      </c>
      <c r="I66" t="s">
        <v>493</v>
      </c>
      <c r="J66" t="s">
        <v>494</v>
      </c>
      <c r="K66" t="s">
        <v>495</v>
      </c>
      <c r="L66">
        <v>1368</v>
      </c>
      <c r="N66">
        <v>1011</v>
      </c>
      <c r="O66" t="s">
        <v>393</v>
      </c>
      <c r="P66" t="s">
        <v>393</v>
      </c>
      <c r="Q66">
        <v>1</v>
      </c>
      <c r="W66">
        <v>0</v>
      </c>
      <c r="X66">
        <v>-1522739878</v>
      </c>
      <c r="Y66">
        <v>10.11</v>
      </c>
      <c r="AA66">
        <v>0</v>
      </c>
      <c r="AB66">
        <v>27.21</v>
      </c>
      <c r="AC66">
        <v>0.13</v>
      </c>
      <c r="AD66">
        <v>0</v>
      </c>
      <c r="AE66">
        <v>0</v>
      </c>
      <c r="AF66">
        <v>27.21</v>
      </c>
      <c r="AG66">
        <v>0.13</v>
      </c>
      <c r="AH66">
        <v>0</v>
      </c>
      <c r="AI66">
        <v>1</v>
      </c>
      <c r="AJ66">
        <v>1</v>
      </c>
      <c r="AK66">
        <v>1</v>
      </c>
      <c r="AL66">
        <v>1</v>
      </c>
      <c r="AN66">
        <v>0</v>
      </c>
      <c r="AO66">
        <v>1</v>
      </c>
      <c r="AP66">
        <v>0</v>
      </c>
      <c r="AQ66">
        <v>0</v>
      </c>
      <c r="AR66">
        <v>0</v>
      </c>
      <c r="AS66" t="s">
        <v>3</v>
      </c>
      <c r="AT66">
        <v>10.11</v>
      </c>
      <c r="AU66" t="s">
        <v>3</v>
      </c>
      <c r="AV66">
        <v>0</v>
      </c>
      <c r="AW66">
        <v>2</v>
      </c>
      <c r="AX66">
        <v>38799995</v>
      </c>
      <c r="AY66">
        <v>1</v>
      </c>
      <c r="AZ66">
        <v>0</v>
      </c>
      <c r="BA66">
        <v>65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CX66">
        <f>Y66*Source!I85</f>
        <v>6.7754187000000003</v>
      </c>
      <c r="CY66">
        <f>AB66</f>
        <v>27.21</v>
      </c>
      <c r="CZ66">
        <f>AF66</f>
        <v>27.21</v>
      </c>
      <c r="DA66">
        <f>AJ66</f>
        <v>1</v>
      </c>
      <c r="DB66">
        <f t="shared" si="2"/>
        <v>275.08999999999997</v>
      </c>
      <c r="DC66">
        <f t="shared" si="3"/>
        <v>1.31</v>
      </c>
    </row>
    <row r="67" spans="1:107" x14ac:dyDescent="0.2">
      <c r="A67">
        <f>ROW(Source!A85)</f>
        <v>85</v>
      </c>
      <c r="B67">
        <v>38799519</v>
      </c>
      <c r="C67">
        <v>38799833</v>
      </c>
      <c r="D67">
        <v>38465907</v>
      </c>
      <c r="E67">
        <v>1</v>
      </c>
      <c r="F67">
        <v>1</v>
      </c>
      <c r="G67">
        <v>27</v>
      </c>
      <c r="H67">
        <v>3</v>
      </c>
      <c r="I67" t="s">
        <v>162</v>
      </c>
      <c r="J67" t="s">
        <v>164</v>
      </c>
      <c r="K67" t="s">
        <v>163</v>
      </c>
      <c r="L67">
        <v>1348</v>
      </c>
      <c r="N67">
        <v>1009</v>
      </c>
      <c r="O67" t="s">
        <v>155</v>
      </c>
      <c r="P67" t="s">
        <v>155</v>
      </c>
      <c r="Q67">
        <v>1000</v>
      </c>
      <c r="W67">
        <v>0</v>
      </c>
      <c r="X67">
        <v>209443868</v>
      </c>
      <c r="Y67">
        <v>1</v>
      </c>
      <c r="AA67">
        <v>37329.29</v>
      </c>
      <c r="AB67">
        <v>0</v>
      </c>
      <c r="AC67">
        <v>0</v>
      </c>
      <c r="AD67">
        <v>0</v>
      </c>
      <c r="AE67">
        <v>37329.29</v>
      </c>
      <c r="AF67">
        <v>0</v>
      </c>
      <c r="AG67">
        <v>0</v>
      </c>
      <c r="AH67">
        <v>0</v>
      </c>
      <c r="AI67">
        <v>1</v>
      </c>
      <c r="AJ67">
        <v>1</v>
      </c>
      <c r="AK67">
        <v>1</v>
      </c>
      <c r="AL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 t="s">
        <v>3</v>
      </c>
      <c r="AT67">
        <v>1</v>
      </c>
      <c r="AU67" t="s">
        <v>3</v>
      </c>
      <c r="AV67">
        <v>0</v>
      </c>
      <c r="AW67">
        <v>1</v>
      </c>
      <c r="AX67">
        <v>-1</v>
      </c>
      <c r="AY67">
        <v>0</v>
      </c>
      <c r="AZ67">
        <v>0</v>
      </c>
      <c r="BA67" t="s">
        <v>3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CX67">
        <f>Y67*Source!I85</f>
        <v>0.67017000000000004</v>
      </c>
      <c r="CY67">
        <f>AA67</f>
        <v>37329.29</v>
      </c>
      <c r="CZ67">
        <f>AE67</f>
        <v>37329.29</v>
      </c>
      <c r="DA67">
        <f>AI67</f>
        <v>1</v>
      </c>
      <c r="DB67">
        <f t="shared" si="2"/>
        <v>37329.29</v>
      </c>
      <c r="DC67">
        <f t="shared" si="3"/>
        <v>0</v>
      </c>
    </row>
    <row r="68" spans="1:107" x14ac:dyDescent="0.2">
      <c r="A68">
        <f>ROW(Source!A85)</f>
        <v>85</v>
      </c>
      <c r="B68">
        <v>38799519</v>
      </c>
      <c r="C68">
        <v>38799833</v>
      </c>
      <c r="D68">
        <v>38467018</v>
      </c>
      <c r="E68">
        <v>1</v>
      </c>
      <c r="F68">
        <v>1</v>
      </c>
      <c r="G68">
        <v>27</v>
      </c>
      <c r="H68">
        <v>3</v>
      </c>
      <c r="I68" t="s">
        <v>496</v>
      </c>
      <c r="J68" t="s">
        <v>497</v>
      </c>
      <c r="K68" t="s">
        <v>498</v>
      </c>
      <c r="L68">
        <v>1348</v>
      </c>
      <c r="N68">
        <v>1009</v>
      </c>
      <c r="O68" t="s">
        <v>155</v>
      </c>
      <c r="P68" t="s">
        <v>155</v>
      </c>
      <c r="Q68">
        <v>1000</v>
      </c>
      <c r="W68">
        <v>0</v>
      </c>
      <c r="X68">
        <v>-941081254</v>
      </c>
      <c r="Y68">
        <v>7.0000000000000001E-3</v>
      </c>
      <c r="AA68">
        <v>110781.14</v>
      </c>
      <c r="AB68">
        <v>0</v>
      </c>
      <c r="AC68">
        <v>0</v>
      </c>
      <c r="AD68">
        <v>0</v>
      </c>
      <c r="AE68">
        <v>110781.14</v>
      </c>
      <c r="AF68">
        <v>0</v>
      </c>
      <c r="AG68">
        <v>0</v>
      </c>
      <c r="AH68">
        <v>0</v>
      </c>
      <c r="AI68">
        <v>1</v>
      </c>
      <c r="AJ68">
        <v>1</v>
      </c>
      <c r="AK68">
        <v>1</v>
      </c>
      <c r="AL68">
        <v>1</v>
      </c>
      <c r="AN68">
        <v>0</v>
      </c>
      <c r="AO68">
        <v>1</v>
      </c>
      <c r="AP68">
        <v>0</v>
      </c>
      <c r="AQ68">
        <v>0</v>
      </c>
      <c r="AR68">
        <v>0</v>
      </c>
      <c r="AS68" t="s">
        <v>3</v>
      </c>
      <c r="AT68">
        <v>7.0000000000000001E-3</v>
      </c>
      <c r="AU68" t="s">
        <v>3</v>
      </c>
      <c r="AV68">
        <v>0</v>
      </c>
      <c r="AW68">
        <v>2</v>
      </c>
      <c r="AX68">
        <v>38799996</v>
      </c>
      <c r="AY68">
        <v>1</v>
      </c>
      <c r="AZ68">
        <v>0</v>
      </c>
      <c r="BA68">
        <v>66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CX68">
        <f>Y68*Source!I85</f>
        <v>4.6911900000000005E-3</v>
      </c>
      <c r="CY68">
        <f>AA68</f>
        <v>110781.14</v>
      </c>
      <c r="CZ68">
        <f>AE68</f>
        <v>110781.14</v>
      </c>
      <c r="DA68">
        <f>AI68</f>
        <v>1</v>
      </c>
      <c r="DB68">
        <f t="shared" si="2"/>
        <v>775.47</v>
      </c>
      <c r="DC68">
        <f t="shared" si="3"/>
        <v>0</v>
      </c>
    </row>
    <row r="69" spans="1:107" x14ac:dyDescent="0.2">
      <c r="A69">
        <f>ROW(Source!A85)</f>
        <v>85</v>
      </c>
      <c r="B69">
        <v>38799519</v>
      </c>
      <c r="C69">
        <v>38799833</v>
      </c>
      <c r="D69">
        <v>38469099</v>
      </c>
      <c r="E69">
        <v>1</v>
      </c>
      <c r="F69">
        <v>1</v>
      </c>
      <c r="G69">
        <v>27</v>
      </c>
      <c r="H69">
        <v>3</v>
      </c>
      <c r="I69" t="s">
        <v>158</v>
      </c>
      <c r="J69" t="s">
        <v>160</v>
      </c>
      <c r="K69" t="s">
        <v>159</v>
      </c>
      <c r="L69">
        <v>1348</v>
      </c>
      <c r="N69">
        <v>1009</v>
      </c>
      <c r="O69" t="s">
        <v>155</v>
      </c>
      <c r="P69" t="s">
        <v>155</v>
      </c>
      <c r="Q69">
        <v>1000</v>
      </c>
      <c r="W69">
        <v>0</v>
      </c>
      <c r="X69">
        <v>2073736509</v>
      </c>
      <c r="Y69">
        <v>1</v>
      </c>
      <c r="AA69">
        <v>80328.740000000005</v>
      </c>
      <c r="AB69">
        <v>0</v>
      </c>
      <c r="AC69">
        <v>0</v>
      </c>
      <c r="AD69">
        <v>0</v>
      </c>
      <c r="AE69">
        <v>80328.740000000005</v>
      </c>
      <c r="AF69">
        <v>0</v>
      </c>
      <c r="AG69">
        <v>0</v>
      </c>
      <c r="AH69">
        <v>0</v>
      </c>
      <c r="AI69">
        <v>1</v>
      </c>
      <c r="AJ69">
        <v>1</v>
      </c>
      <c r="AK69">
        <v>1</v>
      </c>
      <c r="AL69">
        <v>1</v>
      </c>
      <c r="AN69">
        <v>0</v>
      </c>
      <c r="AO69">
        <v>1</v>
      </c>
      <c r="AP69">
        <v>0</v>
      </c>
      <c r="AQ69">
        <v>0</v>
      </c>
      <c r="AR69">
        <v>0</v>
      </c>
      <c r="AS69" t="s">
        <v>3</v>
      </c>
      <c r="AT69">
        <v>1</v>
      </c>
      <c r="AU69" t="s">
        <v>3</v>
      </c>
      <c r="AV69">
        <v>0</v>
      </c>
      <c r="AW69">
        <v>2</v>
      </c>
      <c r="AX69">
        <v>38799997</v>
      </c>
      <c r="AY69">
        <v>1</v>
      </c>
      <c r="AZ69">
        <v>0</v>
      </c>
      <c r="BA69">
        <v>67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CX69">
        <f>Y69*Source!I85</f>
        <v>0.67017000000000004</v>
      </c>
      <c r="CY69">
        <f>AA69</f>
        <v>80328.740000000005</v>
      </c>
      <c r="CZ69">
        <f>AE69</f>
        <v>80328.740000000005</v>
      </c>
      <c r="DA69">
        <f>AI69</f>
        <v>1</v>
      </c>
      <c r="DB69">
        <f t="shared" si="2"/>
        <v>80328.740000000005</v>
      </c>
      <c r="DC69">
        <f t="shared" si="3"/>
        <v>0</v>
      </c>
    </row>
    <row r="70" spans="1:107" x14ac:dyDescent="0.2">
      <c r="A70">
        <f>ROW(Source!A85)</f>
        <v>85</v>
      </c>
      <c r="B70">
        <v>38799519</v>
      </c>
      <c r="C70">
        <v>38799833</v>
      </c>
      <c r="D70">
        <v>38469099</v>
      </c>
      <c r="E70">
        <v>1</v>
      </c>
      <c r="F70">
        <v>1</v>
      </c>
      <c r="G70">
        <v>27</v>
      </c>
      <c r="H70">
        <v>3</v>
      </c>
      <c r="I70" t="s">
        <v>158</v>
      </c>
      <c r="J70" t="s">
        <v>160</v>
      </c>
      <c r="K70" t="s">
        <v>159</v>
      </c>
      <c r="L70">
        <v>1348</v>
      </c>
      <c r="N70">
        <v>1009</v>
      </c>
      <c r="O70" t="s">
        <v>155</v>
      </c>
      <c r="P70" t="s">
        <v>155</v>
      </c>
      <c r="Q70">
        <v>1000</v>
      </c>
      <c r="W70">
        <v>0</v>
      </c>
      <c r="X70">
        <v>2073736509</v>
      </c>
      <c r="Y70">
        <v>-1</v>
      </c>
      <c r="AA70">
        <v>80328.740000000005</v>
      </c>
      <c r="AB70">
        <v>0</v>
      </c>
      <c r="AC70">
        <v>0</v>
      </c>
      <c r="AD70">
        <v>0</v>
      </c>
      <c r="AE70">
        <v>80328.740000000005</v>
      </c>
      <c r="AF70">
        <v>0</v>
      </c>
      <c r="AG70">
        <v>0</v>
      </c>
      <c r="AH70">
        <v>0</v>
      </c>
      <c r="AI70">
        <v>1</v>
      </c>
      <c r="AJ70">
        <v>1</v>
      </c>
      <c r="AK70">
        <v>1</v>
      </c>
      <c r="AL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 t="s">
        <v>3</v>
      </c>
      <c r="AT70">
        <v>-1</v>
      </c>
      <c r="AU70" t="s">
        <v>3</v>
      </c>
      <c r="AV70">
        <v>0</v>
      </c>
      <c r="AW70">
        <v>1</v>
      </c>
      <c r="AX70">
        <v>-1</v>
      </c>
      <c r="AY70">
        <v>0</v>
      </c>
      <c r="AZ70">
        <v>0</v>
      </c>
      <c r="BA70" t="s">
        <v>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CX70">
        <f>Y70*Source!I85</f>
        <v>-0.67017000000000004</v>
      </c>
      <c r="CY70">
        <f>AA70</f>
        <v>80328.740000000005</v>
      </c>
      <c r="CZ70">
        <f>AE70</f>
        <v>80328.740000000005</v>
      </c>
      <c r="DA70">
        <f>AI70</f>
        <v>1</v>
      </c>
      <c r="DB70">
        <f t="shared" si="2"/>
        <v>-80328.740000000005</v>
      </c>
      <c r="DC70">
        <f t="shared" si="3"/>
        <v>0</v>
      </c>
    </row>
    <row r="71" spans="1:107" x14ac:dyDescent="0.2">
      <c r="A71">
        <f>ROW(Source!A88)</f>
        <v>88</v>
      </c>
      <c r="B71">
        <v>38799519</v>
      </c>
      <c r="C71">
        <v>38799842</v>
      </c>
      <c r="D71">
        <v>38451941</v>
      </c>
      <c r="E71">
        <v>27</v>
      </c>
      <c r="F71">
        <v>1</v>
      </c>
      <c r="G71">
        <v>27</v>
      </c>
      <c r="H71">
        <v>1</v>
      </c>
      <c r="I71" t="s">
        <v>387</v>
      </c>
      <c r="J71" t="s">
        <v>3</v>
      </c>
      <c r="K71" t="s">
        <v>388</v>
      </c>
      <c r="L71">
        <v>1191</v>
      </c>
      <c r="N71">
        <v>1013</v>
      </c>
      <c r="O71" t="s">
        <v>389</v>
      </c>
      <c r="P71" t="s">
        <v>389</v>
      </c>
      <c r="Q71">
        <v>1</v>
      </c>
      <c r="W71">
        <v>0</v>
      </c>
      <c r="X71">
        <v>476480486</v>
      </c>
      <c r="Y71">
        <v>126.5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1</v>
      </c>
      <c r="AK71">
        <v>1</v>
      </c>
      <c r="AL71">
        <v>1</v>
      </c>
      <c r="AN71">
        <v>0</v>
      </c>
      <c r="AO71">
        <v>1</v>
      </c>
      <c r="AP71">
        <v>0</v>
      </c>
      <c r="AQ71">
        <v>0</v>
      </c>
      <c r="AR71">
        <v>0</v>
      </c>
      <c r="AS71" t="s">
        <v>3</v>
      </c>
      <c r="AT71">
        <v>126.5</v>
      </c>
      <c r="AU71" t="s">
        <v>3</v>
      </c>
      <c r="AV71">
        <v>1</v>
      </c>
      <c r="AW71">
        <v>2</v>
      </c>
      <c r="AX71">
        <v>38799998</v>
      </c>
      <c r="AY71">
        <v>1</v>
      </c>
      <c r="AZ71">
        <v>0</v>
      </c>
      <c r="BA71">
        <v>68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CX71">
        <f>Y71*Source!I88</f>
        <v>140.80335500000001</v>
      </c>
      <c r="CY71">
        <f>AD71</f>
        <v>0</v>
      </c>
      <c r="CZ71">
        <f>AH71</f>
        <v>0</v>
      </c>
      <c r="DA71">
        <f>AL71</f>
        <v>1</v>
      </c>
      <c r="DB71">
        <f t="shared" si="2"/>
        <v>0</v>
      </c>
      <c r="DC71">
        <f t="shared" si="3"/>
        <v>0</v>
      </c>
    </row>
    <row r="72" spans="1:107" x14ac:dyDescent="0.2">
      <c r="A72">
        <f>ROW(Source!A88)</f>
        <v>88</v>
      </c>
      <c r="B72">
        <v>38799519</v>
      </c>
      <c r="C72">
        <v>38799842</v>
      </c>
      <c r="D72">
        <v>38464664</v>
      </c>
      <c r="E72">
        <v>1</v>
      </c>
      <c r="F72">
        <v>1</v>
      </c>
      <c r="G72">
        <v>27</v>
      </c>
      <c r="H72">
        <v>2</v>
      </c>
      <c r="I72" t="s">
        <v>493</v>
      </c>
      <c r="J72" t="s">
        <v>494</v>
      </c>
      <c r="K72" t="s">
        <v>495</v>
      </c>
      <c r="L72">
        <v>1368</v>
      </c>
      <c r="N72">
        <v>1011</v>
      </c>
      <c r="O72" t="s">
        <v>393</v>
      </c>
      <c r="P72" t="s">
        <v>393</v>
      </c>
      <c r="Q72">
        <v>1</v>
      </c>
      <c r="W72">
        <v>0</v>
      </c>
      <c r="X72">
        <v>-1522739878</v>
      </c>
      <c r="Y72">
        <v>53.75</v>
      </c>
      <c r="AA72">
        <v>0</v>
      </c>
      <c r="AB72">
        <v>27.21</v>
      </c>
      <c r="AC72">
        <v>0.13</v>
      </c>
      <c r="AD72">
        <v>0</v>
      </c>
      <c r="AE72">
        <v>0</v>
      </c>
      <c r="AF72">
        <v>27.21</v>
      </c>
      <c r="AG72">
        <v>0.13</v>
      </c>
      <c r="AH72">
        <v>0</v>
      </c>
      <c r="AI72">
        <v>1</v>
      </c>
      <c r="AJ72">
        <v>1</v>
      </c>
      <c r="AK72">
        <v>1</v>
      </c>
      <c r="AL72">
        <v>1</v>
      </c>
      <c r="AN72">
        <v>0</v>
      </c>
      <c r="AO72">
        <v>1</v>
      </c>
      <c r="AP72">
        <v>0</v>
      </c>
      <c r="AQ72">
        <v>0</v>
      </c>
      <c r="AR72">
        <v>0</v>
      </c>
      <c r="AS72" t="s">
        <v>3</v>
      </c>
      <c r="AT72">
        <v>53.75</v>
      </c>
      <c r="AU72" t="s">
        <v>3</v>
      </c>
      <c r="AV72">
        <v>0</v>
      </c>
      <c r="AW72">
        <v>2</v>
      </c>
      <c r="AX72">
        <v>38799999</v>
      </c>
      <c r="AY72">
        <v>1</v>
      </c>
      <c r="AZ72">
        <v>0</v>
      </c>
      <c r="BA72">
        <v>69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CX72">
        <f>Y72*Source!I88</f>
        <v>59.827512499999997</v>
      </c>
      <c r="CY72">
        <f t="shared" ref="CY72:CY77" si="4">AB72</f>
        <v>27.21</v>
      </c>
      <c r="CZ72">
        <f t="shared" ref="CZ72:CZ77" si="5">AF72</f>
        <v>27.21</v>
      </c>
      <c r="DA72">
        <f t="shared" ref="DA72:DA77" si="6">AJ72</f>
        <v>1</v>
      </c>
      <c r="DB72">
        <f t="shared" si="2"/>
        <v>1462.54</v>
      </c>
      <c r="DC72">
        <f t="shared" si="3"/>
        <v>6.99</v>
      </c>
    </row>
    <row r="73" spans="1:107" x14ac:dyDescent="0.2">
      <c r="A73">
        <f>ROW(Source!A88)</f>
        <v>88</v>
      </c>
      <c r="B73">
        <v>38799519</v>
      </c>
      <c r="C73">
        <v>38799842</v>
      </c>
      <c r="D73">
        <v>38464666</v>
      </c>
      <c r="E73">
        <v>1</v>
      </c>
      <c r="F73">
        <v>1</v>
      </c>
      <c r="G73">
        <v>27</v>
      </c>
      <c r="H73">
        <v>2</v>
      </c>
      <c r="I73" t="s">
        <v>499</v>
      </c>
      <c r="J73" t="s">
        <v>500</v>
      </c>
      <c r="K73" t="s">
        <v>501</v>
      </c>
      <c r="L73">
        <v>1368</v>
      </c>
      <c r="N73">
        <v>1011</v>
      </c>
      <c r="O73" t="s">
        <v>393</v>
      </c>
      <c r="P73" t="s">
        <v>393</v>
      </c>
      <c r="Q73">
        <v>1</v>
      </c>
      <c r="W73">
        <v>0</v>
      </c>
      <c r="X73">
        <v>1013184309</v>
      </c>
      <c r="Y73">
        <v>1.1200000000000001</v>
      </c>
      <c r="AA73">
        <v>0</v>
      </c>
      <c r="AB73">
        <v>6.29</v>
      </c>
      <c r="AC73">
        <v>0.14000000000000001</v>
      </c>
      <c r="AD73">
        <v>0</v>
      </c>
      <c r="AE73">
        <v>0</v>
      </c>
      <c r="AF73">
        <v>6.29</v>
      </c>
      <c r="AG73">
        <v>0.14000000000000001</v>
      </c>
      <c r="AH73">
        <v>0</v>
      </c>
      <c r="AI73">
        <v>1</v>
      </c>
      <c r="AJ73">
        <v>1</v>
      </c>
      <c r="AK73">
        <v>1</v>
      </c>
      <c r="AL73">
        <v>1</v>
      </c>
      <c r="AN73">
        <v>0</v>
      </c>
      <c r="AO73">
        <v>1</v>
      </c>
      <c r="AP73">
        <v>0</v>
      </c>
      <c r="AQ73">
        <v>0</v>
      </c>
      <c r="AR73">
        <v>0</v>
      </c>
      <c r="AS73" t="s">
        <v>3</v>
      </c>
      <c r="AT73">
        <v>1.1200000000000001</v>
      </c>
      <c r="AU73" t="s">
        <v>3</v>
      </c>
      <c r="AV73">
        <v>0</v>
      </c>
      <c r="AW73">
        <v>2</v>
      </c>
      <c r="AX73">
        <v>38800000</v>
      </c>
      <c r="AY73">
        <v>1</v>
      </c>
      <c r="AZ73">
        <v>0</v>
      </c>
      <c r="BA73">
        <v>70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CX73">
        <f>Y73*Source!I88</f>
        <v>1.2466384000000001</v>
      </c>
      <c r="CY73">
        <f t="shared" si="4"/>
        <v>6.29</v>
      </c>
      <c r="CZ73">
        <f t="shared" si="5"/>
        <v>6.29</v>
      </c>
      <c r="DA73">
        <f t="shared" si="6"/>
        <v>1</v>
      </c>
      <c r="DB73">
        <f t="shared" ref="DB73:DB104" si="7">ROUND(ROUND(AT73*CZ73,2),6)</f>
        <v>7.04</v>
      </c>
      <c r="DC73">
        <f t="shared" ref="DC73:DC104" si="8">ROUND(ROUND(AT73*AG73,2),6)</f>
        <v>0.16</v>
      </c>
    </row>
    <row r="74" spans="1:107" x14ac:dyDescent="0.2">
      <c r="A74">
        <f>ROW(Source!A88)</f>
        <v>88</v>
      </c>
      <c r="B74">
        <v>38799519</v>
      </c>
      <c r="C74">
        <v>38799842</v>
      </c>
      <c r="D74">
        <v>38465122</v>
      </c>
      <c r="E74">
        <v>1</v>
      </c>
      <c r="F74">
        <v>1</v>
      </c>
      <c r="G74">
        <v>27</v>
      </c>
      <c r="H74">
        <v>2</v>
      </c>
      <c r="I74" t="s">
        <v>456</v>
      </c>
      <c r="J74" t="s">
        <v>457</v>
      </c>
      <c r="K74" t="s">
        <v>458</v>
      </c>
      <c r="L74">
        <v>1368</v>
      </c>
      <c r="N74">
        <v>1011</v>
      </c>
      <c r="O74" t="s">
        <v>393</v>
      </c>
      <c r="P74" t="s">
        <v>393</v>
      </c>
      <c r="Q74">
        <v>1</v>
      </c>
      <c r="W74">
        <v>0</v>
      </c>
      <c r="X74">
        <v>-1222982568</v>
      </c>
      <c r="Y74">
        <v>0.38</v>
      </c>
      <c r="AA74">
        <v>0</v>
      </c>
      <c r="AB74">
        <v>7.44</v>
      </c>
      <c r="AC74">
        <v>0.98</v>
      </c>
      <c r="AD74">
        <v>0</v>
      </c>
      <c r="AE74">
        <v>0</v>
      </c>
      <c r="AF74">
        <v>7.44</v>
      </c>
      <c r="AG74">
        <v>0.98</v>
      </c>
      <c r="AH74">
        <v>0</v>
      </c>
      <c r="AI74">
        <v>1</v>
      </c>
      <c r="AJ74">
        <v>1</v>
      </c>
      <c r="AK74">
        <v>1</v>
      </c>
      <c r="AL74">
        <v>1</v>
      </c>
      <c r="AN74">
        <v>0</v>
      </c>
      <c r="AO74">
        <v>1</v>
      </c>
      <c r="AP74">
        <v>0</v>
      </c>
      <c r="AQ74">
        <v>0</v>
      </c>
      <c r="AR74">
        <v>0</v>
      </c>
      <c r="AS74" t="s">
        <v>3</v>
      </c>
      <c r="AT74">
        <v>0.38</v>
      </c>
      <c r="AU74" t="s">
        <v>3</v>
      </c>
      <c r="AV74">
        <v>0</v>
      </c>
      <c r="AW74">
        <v>2</v>
      </c>
      <c r="AX74">
        <v>38800001</v>
      </c>
      <c r="AY74">
        <v>1</v>
      </c>
      <c r="AZ74">
        <v>0</v>
      </c>
      <c r="BA74">
        <v>71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CX74">
        <f>Y74*Source!I88</f>
        <v>0.42296660000000003</v>
      </c>
      <c r="CY74">
        <f t="shared" si="4"/>
        <v>7.44</v>
      </c>
      <c r="CZ74">
        <f t="shared" si="5"/>
        <v>7.44</v>
      </c>
      <c r="DA74">
        <f t="shared" si="6"/>
        <v>1</v>
      </c>
      <c r="DB74">
        <f t="shared" si="7"/>
        <v>2.83</v>
      </c>
      <c r="DC74">
        <f t="shared" si="8"/>
        <v>0.37</v>
      </c>
    </row>
    <row r="75" spans="1:107" x14ac:dyDescent="0.2">
      <c r="A75">
        <f>ROW(Source!A88)</f>
        <v>88</v>
      </c>
      <c r="B75">
        <v>38799519</v>
      </c>
      <c r="C75">
        <v>38799842</v>
      </c>
      <c r="D75">
        <v>38465050</v>
      </c>
      <c r="E75">
        <v>1</v>
      </c>
      <c r="F75">
        <v>1</v>
      </c>
      <c r="G75">
        <v>27</v>
      </c>
      <c r="H75">
        <v>2</v>
      </c>
      <c r="I75" t="s">
        <v>502</v>
      </c>
      <c r="J75" t="s">
        <v>503</v>
      </c>
      <c r="K75" t="s">
        <v>504</v>
      </c>
      <c r="L75">
        <v>1368</v>
      </c>
      <c r="N75">
        <v>1011</v>
      </c>
      <c r="O75" t="s">
        <v>393</v>
      </c>
      <c r="P75" t="s">
        <v>393</v>
      </c>
      <c r="Q75">
        <v>1</v>
      </c>
      <c r="W75">
        <v>0</v>
      </c>
      <c r="X75">
        <v>-952080715</v>
      </c>
      <c r="Y75">
        <v>0.5</v>
      </c>
      <c r="AA75">
        <v>0</v>
      </c>
      <c r="AB75">
        <v>5.94</v>
      </c>
      <c r="AC75">
        <v>0.02</v>
      </c>
      <c r="AD75">
        <v>0</v>
      </c>
      <c r="AE75">
        <v>0</v>
      </c>
      <c r="AF75">
        <v>5.94</v>
      </c>
      <c r="AG75">
        <v>0.02</v>
      </c>
      <c r="AH75">
        <v>0</v>
      </c>
      <c r="AI75">
        <v>1</v>
      </c>
      <c r="AJ75">
        <v>1</v>
      </c>
      <c r="AK75">
        <v>1</v>
      </c>
      <c r="AL75">
        <v>1</v>
      </c>
      <c r="AN75">
        <v>0</v>
      </c>
      <c r="AO75">
        <v>1</v>
      </c>
      <c r="AP75">
        <v>0</v>
      </c>
      <c r="AQ75">
        <v>0</v>
      </c>
      <c r="AR75">
        <v>0</v>
      </c>
      <c r="AS75" t="s">
        <v>3</v>
      </c>
      <c r="AT75">
        <v>0.5</v>
      </c>
      <c r="AU75" t="s">
        <v>3</v>
      </c>
      <c r="AV75">
        <v>0</v>
      </c>
      <c r="AW75">
        <v>2</v>
      </c>
      <c r="AX75">
        <v>38800002</v>
      </c>
      <c r="AY75">
        <v>1</v>
      </c>
      <c r="AZ75">
        <v>0</v>
      </c>
      <c r="BA75">
        <v>72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CX75">
        <f>Y75*Source!I88</f>
        <v>0.556535</v>
      </c>
      <c r="CY75">
        <f t="shared" si="4"/>
        <v>5.94</v>
      </c>
      <c r="CZ75">
        <f t="shared" si="5"/>
        <v>5.94</v>
      </c>
      <c r="DA75">
        <f t="shared" si="6"/>
        <v>1</v>
      </c>
      <c r="DB75">
        <f t="shared" si="7"/>
        <v>2.97</v>
      </c>
      <c r="DC75">
        <f t="shared" si="8"/>
        <v>0.01</v>
      </c>
    </row>
    <row r="76" spans="1:107" x14ac:dyDescent="0.2">
      <c r="A76">
        <f>ROW(Source!A88)</f>
        <v>88</v>
      </c>
      <c r="B76">
        <v>38799519</v>
      </c>
      <c r="C76">
        <v>38799842</v>
      </c>
      <c r="D76">
        <v>38465068</v>
      </c>
      <c r="E76">
        <v>1</v>
      </c>
      <c r="F76">
        <v>1</v>
      </c>
      <c r="G76">
        <v>27</v>
      </c>
      <c r="H76">
        <v>2</v>
      </c>
      <c r="I76" t="s">
        <v>505</v>
      </c>
      <c r="J76" t="s">
        <v>506</v>
      </c>
      <c r="K76" t="s">
        <v>507</v>
      </c>
      <c r="L76">
        <v>1368</v>
      </c>
      <c r="N76">
        <v>1011</v>
      </c>
      <c r="O76" t="s">
        <v>393</v>
      </c>
      <c r="P76" t="s">
        <v>393</v>
      </c>
      <c r="Q76">
        <v>1</v>
      </c>
      <c r="W76">
        <v>0</v>
      </c>
      <c r="X76">
        <v>1694277110</v>
      </c>
      <c r="Y76">
        <v>3</v>
      </c>
      <c r="AA76">
        <v>0</v>
      </c>
      <c r="AB76">
        <v>11.26</v>
      </c>
      <c r="AC76">
        <v>5.26</v>
      </c>
      <c r="AD76">
        <v>0</v>
      </c>
      <c r="AE76">
        <v>0</v>
      </c>
      <c r="AF76">
        <v>11.26</v>
      </c>
      <c r="AG76">
        <v>5.26</v>
      </c>
      <c r="AH76">
        <v>0</v>
      </c>
      <c r="AI76">
        <v>1</v>
      </c>
      <c r="AJ76">
        <v>1</v>
      </c>
      <c r="AK76">
        <v>1</v>
      </c>
      <c r="AL76">
        <v>1</v>
      </c>
      <c r="AN76">
        <v>0</v>
      </c>
      <c r="AO76">
        <v>1</v>
      </c>
      <c r="AP76">
        <v>0</v>
      </c>
      <c r="AQ76">
        <v>0</v>
      </c>
      <c r="AR76">
        <v>0</v>
      </c>
      <c r="AS76" t="s">
        <v>3</v>
      </c>
      <c r="AT76">
        <v>3</v>
      </c>
      <c r="AU76" t="s">
        <v>3</v>
      </c>
      <c r="AV76">
        <v>0</v>
      </c>
      <c r="AW76">
        <v>2</v>
      </c>
      <c r="AX76">
        <v>38800003</v>
      </c>
      <c r="AY76">
        <v>1</v>
      </c>
      <c r="AZ76">
        <v>0</v>
      </c>
      <c r="BA76">
        <v>73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CX76">
        <f>Y76*Source!I88</f>
        <v>3.33921</v>
      </c>
      <c r="CY76">
        <f t="shared" si="4"/>
        <v>11.26</v>
      </c>
      <c r="CZ76">
        <f t="shared" si="5"/>
        <v>11.26</v>
      </c>
      <c r="DA76">
        <f t="shared" si="6"/>
        <v>1</v>
      </c>
      <c r="DB76">
        <f t="shared" si="7"/>
        <v>33.78</v>
      </c>
      <c r="DC76">
        <f t="shared" si="8"/>
        <v>15.78</v>
      </c>
    </row>
    <row r="77" spans="1:107" x14ac:dyDescent="0.2">
      <c r="A77">
        <f>ROW(Source!A88)</f>
        <v>88</v>
      </c>
      <c r="B77">
        <v>38799519</v>
      </c>
      <c r="C77">
        <v>38799842</v>
      </c>
      <c r="D77">
        <v>38465091</v>
      </c>
      <c r="E77">
        <v>1</v>
      </c>
      <c r="F77">
        <v>1</v>
      </c>
      <c r="G77">
        <v>27</v>
      </c>
      <c r="H77">
        <v>2</v>
      </c>
      <c r="I77" t="s">
        <v>508</v>
      </c>
      <c r="J77" t="s">
        <v>509</v>
      </c>
      <c r="K77" t="s">
        <v>510</v>
      </c>
      <c r="L77">
        <v>1368</v>
      </c>
      <c r="N77">
        <v>1011</v>
      </c>
      <c r="O77" t="s">
        <v>393</v>
      </c>
      <c r="P77" t="s">
        <v>393</v>
      </c>
      <c r="Q77">
        <v>1</v>
      </c>
      <c r="W77">
        <v>0</v>
      </c>
      <c r="X77">
        <v>1877342720</v>
      </c>
      <c r="Y77">
        <v>1</v>
      </c>
      <c r="AA77">
        <v>0</v>
      </c>
      <c r="AB77">
        <v>364.4</v>
      </c>
      <c r="AC77">
        <v>325.58</v>
      </c>
      <c r="AD77">
        <v>0</v>
      </c>
      <c r="AE77">
        <v>0</v>
      </c>
      <c r="AF77">
        <v>364.4</v>
      </c>
      <c r="AG77">
        <v>325.58</v>
      </c>
      <c r="AH77">
        <v>0</v>
      </c>
      <c r="AI77">
        <v>1</v>
      </c>
      <c r="AJ77">
        <v>1</v>
      </c>
      <c r="AK77">
        <v>1</v>
      </c>
      <c r="AL77">
        <v>1</v>
      </c>
      <c r="AN77">
        <v>0</v>
      </c>
      <c r="AO77">
        <v>1</v>
      </c>
      <c r="AP77">
        <v>0</v>
      </c>
      <c r="AQ77">
        <v>0</v>
      </c>
      <c r="AR77">
        <v>0</v>
      </c>
      <c r="AS77" t="s">
        <v>3</v>
      </c>
      <c r="AT77">
        <v>1</v>
      </c>
      <c r="AU77" t="s">
        <v>3</v>
      </c>
      <c r="AV77">
        <v>0</v>
      </c>
      <c r="AW77">
        <v>2</v>
      </c>
      <c r="AX77">
        <v>38800004</v>
      </c>
      <c r="AY77">
        <v>1</v>
      </c>
      <c r="AZ77">
        <v>0</v>
      </c>
      <c r="BA77">
        <v>74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CX77">
        <f>Y77*Source!I88</f>
        <v>1.11307</v>
      </c>
      <c r="CY77">
        <f t="shared" si="4"/>
        <v>364.4</v>
      </c>
      <c r="CZ77">
        <f t="shared" si="5"/>
        <v>364.4</v>
      </c>
      <c r="DA77">
        <f t="shared" si="6"/>
        <v>1</v>
      </c>
      <c r="DB77">
        <f t="shared" si="7"/>
        <v>364.4</v>
      </c>
      <c r="DC77">
        <f t="shared" si="8"/>
        <v>325.58</v>
      </c>
    </row>
    <row r="78" spans="1:107" x14ac:dyDescent="0.2">
      <c r="A78">
        <f>ROW(Source!A88)</f>
        <v>88</v>
      </c>
      <c r="B78">
        <v>38799519</v>
      </c>
      <c r="C78">
        <v>38799842</v>
      </c>
      <c r="D78">
        <v>38467018</v>
      </c>
      <c r="E78">
        <v>1</v>
      </c>
      <c r="F78">
        <v>1</v>
      </c>
      <c r="G78">
        <v>27</v>
      </c>
      <c r="H78">
        <v>3</v>
      </c>
      <c r="I78" t="s">
        <v>496</v>
      </c>
      <c r="J78" t="s">
        <v>497</v>
      </c>
      <c r="K78" t="s">
        <v>498</v>
      </c>
      <c r="L78">
        <v>1348</v>
      </c>
      <c r="N78">
        <v>1009</v>
      </c>
      <c r="O78" t="s">
        <v>155</v>
      </c>
      <c r="P78" t="s">
        <v>155</v>
      </c>
      <c r="Q78">
        <v>1000</v>
      </c>
      <c r="W78">
        <v>0</v>
      </c>
      <c r="X78">
        <v>-941081254</v>
      </c>
      <c r="Y78">
        <v>1.9E-2</v>
      </c>
      <c r="AA78">
        <v>110781.14</v>
      </c>
      <c r="AB78">
        <v>0</v>
      </c>
      <c r="AC78">
        <v>0</v>
      </c>
      <c r="AD78">
        <v>0</v>
      </c>
      <c r="AE78">
        <v>110781.14</v>
      </c>
      <c r="AF78">
        <v>0</v>
      </c>
      <c r="AG78">
        <v>0</v>
      </c>
      <c r="AH78">
        <v>0</v>
      </c>
      <c r="AI78">
        <v>1</v>
      </c>
      <c r="AJ78">
        <v>1</v>
      </c>
      <c r="AK78">
        <v>1</v>
      </c>
      <c r="AL78">
        <v>1</v>
      </c>
      <c r="AN78">
        <v>0</v>
      </c>
      <c r="AO78">
        <v>1</v>
      </c>
      <c r="AP78">
        <v>0</v>
      </c>
      <c r="AQ78">
        <v>0</v>
      </c>
      <c r="AR78">
        <v>0</v>
      </c>
      <c r="AS78" t="s">
        <v>3</v>
      </c>
      <c r="AT78">
        <v>1.9E-2</v>
      </c>
      <c r="AU78" t="s">
        <v>3</v>
      </c>
      <c r="AV78">
        <v>0</v>
      </c>
      <c r="AW78">
        <v>2</v>
      </c>
      <c r="AX78">
        <v>38800005</v>
      </c>
      <c r="AY78">
        <v>1</v>
      </c>
      <c r="AZ78">
        <v>0</v>
      </c>
      <c r="BA78">
        <v>75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CX78">
        <f>Y78*Source!I88</f>
        <v>2.114833E-2</v>
      </c>
      <c r="CY78">
        <f>AA78</f>
        <v>110781.14</v>
      </c>
      <c r="CZ78">
        <f>AE78</f>
        <v>110781.14</v>
      </c>
      <c r="DA78">
        <f>AI78</f>
        <v>1</v>
      </c>
      <c r="DB78">
        <f t="shared" si="7"/>
        <v>2104.84</v>
      </c>
      <c r="DC78">
        <f t="shared" si="8"/>
        <v>0</v>
      </c>
    </row>
    <row r="79" spans="1:107" x14ac:dyDescent="0.2">
      <c r="A79">
        <f>ROW(Source!A88)</f>
        <v>88</v>
      </c>
      <c r="B79">
        <v>38799519</v>
      </c>
      <c r="C79">
        <v>38799842</v>
      </c>
      <c r="D79">
        <v>38465401</v>
      </c>
      <c r="E79">
        <v>1</v>
      </c>
      <c r="F79">
        <v>1</v>
      </c>
      <c r="G79">
        <v>27</v>
      </c>
      <c r="H79">
        <v>3</v>
      </c>
      <c r="I79" t="s">
        <v>511</v>
      </c>
      <c r="J79" t="s">
        <v>512</v>
      </c>
      <c r="K79" t="s">
        <v>513</v>
      </c>
      <c r="L79">
        <v>1339</v>
      </c>
      <c r="N79">
        <v>1007</v>
      </c>
      <c r="O79" t="s">
        <v>35</v>
      </c>
      <c r="P79" t="s">
        <v>35</v>
      </c>
      <c r="Q79">
        <v>1</v>
      </c>
      <c r="W79">
        <v>0</v>
      </c>
      <c r="X79">
        <v>-617769218</v>
      </c>
      <c r="Y79">
        <v>0.6</v>
      </c>
      <c r="AA79">
        <v>53.38</v>
      </c>
      <c r="AB79">
        <v>0</v>
      </c>
      <c r="AC79">
        <v>0</v>
      </c>
      <c r="AD79">
        <v>0</v>
      </c>
      <c r="AE79">
        <v>53.38</v>
      </c>
      <c r="AF79">
        <v>0</v>
      </c>
      <c r="AG79">
        <v>0</v>
      </c>
      <c r="AH79">
        <v>0</v>
      </c>
      <c r="AI79">
        <v>1</v>
      </c>
      <c r="AJ79">
        <v>1</v>
      </c>
      <c r="AK79">
        <v>1</v>
      </c>
      <c r="AL79">
        <v>1</v>
      </c>
      <c r="AN79">
        <v>0</v>
      </c>
      <c r="AO79">
        <v>1</v>
      </c>
      <c r="AP79">
        <v>0</v>
      </c>
      <c r="AQ79">
        <v>0</v>
      </c>
      <c r="AR79">
        <v>0</v>
      </c>
      <c r="AS79" t="s">
        <v>3</v>
      </c>
      <c r="AT79">
        <v>0.6</v>
      </c>
      <c r="AU79" t="s">
        <v>3</v>
      </c>
      <c r="AV79">
        <v>0</v>
      </c>
      <c r="AW79">
        <v>2</v>
      </c>
      <c r="AX79">
        <v>38800006</v>
      </c>
      <c r="AY79">
        <v>1</v>
      </c>
      <c r="AZ79">
        <v>0</v>
      </c>
      <c r="BA79">
        <v>76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CX79">
        <f>Y79*Source!I88</f>
        <v>0.66784199999999994</v>
      </c>
      <c r="CY79">
        <f>AA79</f>
        <v>53.38</v>
      </c>
      <c r="CZ79">
        <f>AE79</f>
        <v>53.38</v>
      </c>
      <c r="DA79">
        <f>AI79</f>
        <v>1</v>
      </c>
      <c r="DB79">
        <f t="shared" si="7"/>
        <v>32.03</v>
      </c>
      <c r="DC79">
        <f t="shared" si="8"/>
        <v>0</v>
      </c>
    </row>
    <row r="80" spans="1:107" x14ac:dyDescent="0.2">
      <c r="A80">
        <f>ROW(Source!A88)</f>
        <v>88</v>
      </c>
      <c r="B80">
        <v>38799519</v>
      </c>
      <c r="C80">
        <v>38799842</v>
      </c>
      <c r="D80">
        <v>38465422</v>
      </c>
      <c r="E80">
        <v>1</v>
      </c>
      <c r="F80">
        <v>1</v>
      </c>
      <c r="G80">
        <v>27</v>
      </c>
      <c r="H80">
        <v>3</v>
      </c>
      <c r="I80" t="s">
        <v>514</v>
      </c>
      <c r="J80" t="s">
        <v>515</v>
      </c>
      <c r="K80" t="s">
        <v>516</v>
      </c>
      <c r="L80">
        <v>1339</v>
      </c>
      <c r="N80">
        <v>1007</v>
      </c>
      <c r="O80" t="s">
        <v>35</v>
      </c>
      <c r="P80" t="s">
        <v>35</v>
      </c>
      <c r="Q80">
        <v>1</v>
      </c>
      <c r="W80">
        <v>0</v>
      </c>
      <c r="X80">
        <v>-611409894</v>
      </c>
      <c r="Y80">
        <v>0.2</v>
      </c>
      <c r="AA80">
        <v>32.520000000000003</v>
      </c>
      <c r="AB80">
        <v>0</v>
      </c>
      <c r="AC80">
        <v>0</v>
      </c>
      <c r="AD80">
        <v>0</v>
      </c>
      <c r="AE80">
        <v>32.520000000000003</v>
      </c>
      <c r="AF80">
        <v>0</v>
      </c>
      <c r="AG80">
        <v>0</v>
      </c>
      <c r="AH80">
        <v>0</v>
      </c>
      <c r="AI80">
        <v>1</v>
      </c>
      <c r="AJ80">
        <v>1</v>
      </c>
      <c r="AK80">
        <v>1</v>
      </c>
      <c r="AL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 t="s">
        <v>3</v>
      </c>
      <c r="AT80">
        <v>0.2</v>
      </c>
      <c r="AU80" t="s">
        <v>3</v>
      </c>
      <c r="AV80">
        <v>0</v>
      </c>
      <c r="AW80">
        <v>2</v>
      </c>
      <c r="AX80">
        <v>38800007</v>
      </c>
      <c r="AY80">
        <v>1</v>
      </c>
      <c r="AZ80">
        <v>0</v>
      </c>
      <c r="BA80">
        <v>77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CX80">
        <f>Y80*Source!I88</f>
        <v>0.22261400000000001</v>
      </c>
      <c r="CY80">
        <f>AA80</f>
        <v>32.520000000000003</v>
      </c>
      <c r="CZ80">
        <f>AE80</f>
        <v>32.520000000000003</v>
      </c>
      <c r="DA80">
        <f>AI80</f>
        <v>1</v>
      </c>
      <c r="DB80">
        <f t="shared" si="7"/>
        <v>6.5</v>
      </c>
      <c r="DC80">
        <f t="shared" si="8"/>
        <v>0</v>
      </c>
    </row>
    <row r="81" spans="1:107" x14ac:dyDescent="0.2">
      <c r="A81">
        <f>ROW(Source!A88)</f>
        <v>88</v>
      </c>
      <c r="B81">
        <v>38799519</v>
      </c>
      <c r="C81">
        <v>38799842</v>
      </c>
      <c r="D81">
        <v>38468341</v>
      </c>
      <c r="E81">
        <v>1</v>
      </c>
      <c r="F81">
        <v>1</v>
      </c>
      <c r="G81">
        <v>27</v>
      </c>
      <c r="H81">
        <v>3</v>
      </c>
      <c r="I81" t="s">
        <v>517</v>
      </c>
      <c r="J81" t="s">
        <v>518</v>
      </c>
      <c r="K81" t="s">
        <v>519</v>
      </c>
      <c r="L81">
        <v>1348</v>
      </c>
      <c r="N81">
        <v>1009</v>
      </c>
      <c r="O81" t="s">
        <v>155</v>
      </c>
      <c r="P81" t="s">
        <v>155</v>
      </c>
      <c r="Q81">
        <v>1000</v>
      </c>
      <c r="W81">
        <v>0</v>
      </c>
      <c r="X81">
        <v>135110903</v>
      </c>
      <c r="Y81">
        <v>1.06</v>
      </c>
      <c r="AA81">
        <v>35483.61</v>
      </c>
      <c r="AB81">
        <v>0</v>
      </c>
      <c r="AC81">
        <v>0</v>
      </c>
      <c r="AD81">
        <v>0</v>
      </c>
      <c r="AE81">
        <v>35483.61</v>
      </c>
      <c r="AF81">
        <v>0</v>
      </c>
      <c r="AG81">
        <v>0</v>
      </c>
      <c r="AH81">
        <v>0</v>
      </c>
      <c r="AI81">
        <v>1</v>
      </c>
      <c r="AJ81">
        <v>1</v>
      </c>
      <c r="AK81">
        <v>1</v>
      </c>
      <c r="AL81">
        <v>1</v>
      </c>
      <c r="AN81">
        <v>0</v>
      </c>
      <c r="AO81">
        <v>1</v>
      </c>
      <c r="AP81">
        <v>0</v>
      </c>
      <c r="AQ81">
        <v>0</v>
      </c>
      <c r="AR81">
        <v>0</v>
      </c>
      <c r="AS81" t="s">
        <v>3</v>
      </c>
      <c r="AT81">
        <v>1.06</v>
      </c>
      <c r="AU81" t="s">
        <v>3</v>
      </c>
      <c r="AV81">
        <v>0</v>
      </c>
      <c r="AW81">
        <v>2</v>
      </c>
      <c r="AX81">
        <v>38800008</v>
      </c>
      <c r="AY81">
        <v>1</v>
      </c>
      <c r="AZ81">
        <v>0</v>
      </c>
      <c r="BA81">
        <v>78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CX81">
        <f>Y81*Source!I88</f>
        <v>1.1798542000000001</v>
      </c>
      <c r="CY81">
        <f>AA81</f>
        <v>35483.61</v>
      </c>
      <c r="CZ81">
        <f>AE81</f>
        <v>35483.61</v>
      </c>
      <c r="DA81">
        <f>AI81</f>
        <v>1</v>
      </c>
      <c r="DB81">
        <f t="shared" si="7"/>
        <v>37612.629999999997</v>
      </c>
      <c r="DC81">
        <f t="shared" si="8"/>
        <v>0</v>
      </c>
    </row>
    <row r="82" spans="1:107" x14ac:dyDescent="0.2">
      <c r="A82">
        <f>ROW(Source!A89)</f>
        <v>89</v>
      </c>
      <c r="B82">
        <v>38799519</v>
      </c>
      <c r="C82">
        <v>38799865</v>
      </c>
      <c r="D82">
        <v>38451941</v>
      </c>
      <c r="E82">
        <v>27</v>
      </c>
      <c r="F82">
        <v>1</v>
      </c>
      <c r="G82">
        <v>27</v>
      </c>
      <c r="H82">
        <v>1</v>
      </c>
      <c r="I82" t="s">
        <v>387</v>
      </c>
      <c r="J82" t="s">
        <v>3</v>
      </c>
      <c r="K82" t="s">
        <v>388</v>
      </c>
      <c r="L82">
        <v>1191</v>
      </c>
      <c r="N82">
        <v>1013</v>
      </c>
      <c r="O82" t="s">
        <v>389</v>
      </c>
      <c r="P82" t="s">
        <v>389</v>
      </c>
      <c r="Q82">
        <v>1</v>
      </c>
      <c r="W82">
        <v>0</v>
      </c>
      <c r="X82">
        <v>476480486</v>
      </c>
      <c r="Y82">
        <v>87.4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1</v>
      </c>
      <c r="AK82">
        <v>1</v>
      </c>
      <c r="AL82">
        <v>1</v>
      </c>
      <c r="AN82">
        <v>0</v>
      </c>
      <c r="AO82">
        <v>1</v>
      </c>
      <c r="AP82">
        <v>0</v>
      </c>
      <c r="AQ82">
        <v>0</v>
      </c>
      <c r="AR82">
        <v>0</v>
      </c>
      <c r="AS82" t="s">
        <v>3</v>
      </c>
      <c r="AT82">
        <v>87.4</v>
      </c>
      <c r="AU82" t="s">
        <v>3</v>
      </c>
      <c r="AV82">
        <v>1</v>
      </c>
      <c r="AW82">
        <v>2</v>
      </c>
      <c r="AX82">
        <v>38800009</v>
      </c>
      <c r="AY82">
        <v>1</v>
      </c>
      <c r="AZ82">
        <v>0</v>
      </c>
      <c r="BA82">
        <v>79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CX82">
        <f>Y82*Source!I89</f>
        <v>97.282318000000004</v>
      </c>
      <c r="CY82">
        <f>AD82</f>
        <v>0</v>
      </c>
      <c r="CZ82">
        <f>AH82</f>
        <v>0</v>
      </c>
      <c r="DA82">
        <f>AL82</f>
        <v>1</v>
      </c>
      <c r="DB82">
        <f t="shared" si="7"/>
        <v>0</v>
      </c>
      <c r="DC82">
        <f t="shared" si="8"/>
        <v>0</v>
      </c>
    </row>
    <row r="83" spans="1:107" x14ac:dyDescent="0.2">
      <c r="A83">
        <f>ROW(Source!A89)</f>
        <v>89</v>
      </c>
      <c r="B83">
        <v>38799519</v>
      </c>
      <c r="C83">
        <v>38799865</v>
      </c>
      <c r="D83">
        <v>38464342</v>
      </c>
      <c r="E83">
        <v>1</v>
      </c>
      <c r="F83">
        <v>1</v>
      </c>
      <c r="G83">
        <v>27</v>
      </c>
      <c r="H83">
        <v>2</v>
      </c>
      <c r="I83" t="s">
        <v>520</v>
      </c>
      <c r="J83" t="s">
        <v>521</v>
      </c>
      <c r="K83" t="s">
        <v>522</v>
      </c>
      <c r="L83">
        <v>1368</v>
      </c>
      <c r="N83">
        <v>1011</v>
      </c>
      <c r="O83" t="s">
        <v>393</v>
      </c>
      <c r="P83" t="s">
        <v>393</v>
      </c>
      <c r="Q83">
        <v>1</v>
      </c>
      <c r="W83">
        <v>0</v>
      </c>
      <c r="X83">
        <v>-204835879</v>
      </c>
      <c r="Y83">
        <v>19</v>
      </c>
      <c r="AA83">
        <v>0</v>
      </c>
      <c r="AB83">
        <v>31</v>
      </c>
      <c r="AC83">
        <v>1.35</v>
      </c>
      <c r="AD83">
        <v>0</v>
      </c>
      <c r="AE83">
        <v>0</v>
      </c>
      <c r="AF83">
        <v>31</v>
      </c>
      <c r="AG83">
        <v>1.35</v>
      </c>
      <c r="AH83">
        <v>0</v>
      </c>
      <c r="AI83">
        <v>1</v>
      </c>
      <c r="AJ83">
        <v>1</v>
      </c>
      <c r="AK83">
        <v>1</v>
      </c>
      <c r="AL83">
        <v>1</v>
      </c>
      <c r="AN83">
        <v>0</v>
      </c>
      <c r="AO83">
        <v>1</v>
      </c>
      <c r="AP83">
        <v>0</v>
      </c>
      <c r="AQ83">
        <v>0</v>
      </c>
      <c r="AR83">
        <v>0</v>
      </c>
      <c r="AS83" t="s">
        <v>3</v>
      </c>
      <c r="AT83">
        <v>19</v>
      </c>
      <c r="AU83" t="s">
        <v>3</v>
      </c>
      <c r="AV83">
        <v>0</v>
      </c>
      <c r="AW83">
        <v>2</v>
      </c>
      <c r="AX83">
        <v>38800010</v>
      </c>
      <c r="AY83">
        <v>1</v>
      </c>
      <c r="AZ83">
        <v>0</v>
      </c>
      <c r="BA83">
        <v>80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CX83">
        <f>Y83*Source!I89</f>
        <v>21.148330000000001</v>
      </c>
      <c r="CY83">
        <f>AB83</f>
        <v>31</v>
      </c>
      <c r="CZ83">
        <f>AF83</f>
        <v>31</v>
      </c>
      <c r="DA83">
        <f>AJ83</f>
        <v>1</v>
      </c>
      <c r="DB83">
        <f t="shared" si="7"/>
        <v>589</v>
      </c>
      <c r="DC83">
        <f t="shared" si="8"/>
        <v>25.65</v>
      </c>
    </row>
    <row r="84" spans="1:107" x14ac:dyDescent="0.2">
      <c r="A84">
        <f>ROW(Source!A89)</f>
        <v>89</v>
      </c>
      <c r="B84">
        <v>38799519</v>
      </c>
      <c r="C84">
        <v>38799865</v>
      </c>
      <c r="D84">
        <v>38466161</v>
      </c>
      <c r="E84">
        <v>1</v>
      </c>
      <c r="F84">
        <v>1</v>
      </c>
      <c r="G84">
        <v>27</v>
      </c>
      <c r="H84">
        <v>3</v>
      </c>
      <c r="I84" t="s">
        <v>523</v>
      </c>
      <c r="J84" t="s">
        <v>524</v>
      </c>
      <c r="K84" t="s">
        <v>525</v>
      </c>
      <c r="L84">
        <v>1348</v>
      </c>
      <c r="N84">
        <v>1009</v>
      </c>
      <c r="O84" t="s">
        <v>155</v>
      </c>
      <c r="P84" t="s">
        <v>155</v>
      </c>
      <c r="Q84">
        <v>1000</v>
      </c>
      <c r="W84">
        <v>0</v>
      </c>
      <c r="X84">
        <v>-1356276541</v>
      </c>
      <c r="Y84">
        <v>3.3E-3</v>
      </c>
      <c r="AA84">
        <v>105084.63</v>
      </c>
      <c r="AB84">
        <v>0</v>
      </c>
      <c r="AC84">
        <v>0</v>
      </c>
      <c r="AD84">
        <v>0</v>
      </c>
      <c r="AE84">
        <v>105084.63</v>
      </c>
      <c r="AF84">
        <v>0</v>
      </c>
      <c r="AG84">
        <v>0</v>
      </c>
      <c r="AH84">
        <v>0</v>
      </c>
      <c r="AI84">
        <v>1</v>
      </c>
      <c r="AJ84">
        <v>1</v>
      </c>
      <c r="AK84">
        <v>1</v>
      </c>
      <c r="AL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 t="s">
        <v>3</v>
      </c>
      <c r="AT84">
        <v>3.3E-3</v>
      </c>
      <c r="AU84" t="s">
        <v>3</v>
      </c>
      <c r="AV84">
        <v>0</v>
      </c>
      <c r="AW84">
        <v>2</v>
      </c>
      <c r="AX84">
        <v>38800011</v>
      </c>
      <c r="AY84">
        <v>1</v>
      </c>
      <c r="AZ84">
        <v>0</v>
      </c>
      <c r="BA84">
        <v>81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CX84">
        <f>Y84*Source!I89</f>
        <v>3.6731310000000001E-3</v>
      </c>
      <c r="CY84">
        <f>AA84</f>
        <v>105084.63</v>
      </c>
      <c r="CZ84">
        <f>AE84</f>
        <v>105084.63</v>
      </c>
      <c r="DA84">
        <f>AI84</f>
        <v>1</v>
      </c>
      <c r="DB84">
        <f t="shared" si="7"/>
        <v>346.78</v>
      </c>
      <c r="DC84">
        <f t="shared" si="8"/>
        <v>0</v>
      </c>
    </row>
    <row r="85" spans="1:107" x14ac:dyDescent="0.2">
      <c r="A85">
        <f>ROW(Source!A89)</f>
        <v>89</v>
      </c>
      <c r="B85">
        <v>38799519</v>
      </c>
      <c r="C85">
        <v>38799865</v>
      </c>
      <c r="D85">
        <v>38467018</v>
      </c>
      <c r="E85">
        <v>1</v>
      </c>
      <c r="F85">
        <v>1</v>
      </c>
      <c r="G85">
        <v>27</v>
      </c>
      <c r="H85">
        <v>3</v>
      </c>
      <c r="I85" t="s">
        <v>496</v>
      </c>
      <c r="J85" t="s">
        <v>497</v>
      </c>
      <c r="K85" t="s">
        <v>498</v>
      </c>
      <c r="L85">
        <v>1348</v>
      </c>
      <c r="N85">
        <v>1009</v>
      </c>
      <c r="O85" t="s">
        <v>155</v>
      </c>
      <c r="P85" t="s">
        <v>155</v>
      </c>
      <c r="Q85">
        <v>1000</v>
      </c>
      <c r="W85">
        <v>0</v>
      </c>
      <c r="X85">
        <v>-941081254</v>
      </c>
      <c r="Y85">
        <v>1.4E-3</v>
      </c>
      <c r="AA85">
        <v>110781.14</v>
      </c>
      <c r="AB85">
        <v>0</v>
      </c>
      <c r="AC85">
        <v>0</v>
      </c>
      <c r="AD85">
        <v>0</v>
      </c>
      <c r="AE85">
        <v>110781.14</v>
      </c>
      <c r="AF85">
        <v>0</v>
      </c>
      <c r="AG85">
        <v>0</v>
      </c>
      <c r="AH85">
        <v>0</v>
      </c>
      <c r="AI85">
        <v>1</v>
      </c>
      <c r="AJ85">
        <v>1</v>
      </c>
      <c r="AK85">
        <v>1</v>
      </c>
      <c r="AL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 t="s">
        <v>3</v>
      </c>
      <c r="AT85">
        <v>1.4E-3</v>
      </c>
      <c r="AU85" t="s">
        <v>3</v>
      </c>
      <c r="AV85">
        <v>0</v>
      </c>
      <c r="AW85">
        <v>2</v>
      </c>
      <c r="AX85">
        <v>38800012</v>
      </c>
      <c r="AY85">
        <v>1</v>
      </c>
      <c r="AZ85">
        <v>0</v>
      </c>
      <c r="BA85">
        <v>82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CX85">
        <f>Y85*Source!I89</f>
        <v>1.5582980000000001E-3</v>
      </c>
      <c r="CY85">
        <f>AA85</f>
        <v>110781.14</v>
      </c>
      <c r="CZ85">
        <f>AE85</f>
        <v>110781.14</v>
      </c>
      <c r="DA85">
        <f>AI85</f>
        <v>1</v>
      </c>
      <c r="DB85">
        <f t="shared" si="7"/>
        <v>155.09</v>
      </c>
      <c r="DC85">
        <f t="shared" si="8"/>
        <v>0</v>
      </c>
    </row>
    <row r="86" spans="1:107" x14ac:dyDescent="0.2">
      <c r="A86">
        <f>ROW(Source!A89)</f>
        <v>89</v>
      </c>
      <c r="B86">
        <v>38799519</v>
      </c>
      <c r="C86">
        <v>38799865</v>
      </c>
      <c r="D86">
        <v>38469133</v>
      </c>
      <c r="E86">
        <v>1</v>
      </c>
      <c r="F86">
        <v>1</v>
      </c>
      <c r="G86">
        <v>27</v>
      </c>
      <c r="H86">
        <v>3</v>
      </c>
      <c r="I86" t="s">
        <v>526</v>
      </c>
      <c r="J86" t="s">
        <v>527</v>
      </c>
      <c r="K86" t="s">
        <v>528</v>
      </c>
      <c r="L86">
        <v>1348</v>
      </c>
      <c r="N86">
        <v>1009</v>
      </c>
      <c r="O86" t="s">
        <v>155</v>
      </c>
      <c r="P86" t="s">
        <v>155</v>
      </c>
      <c r="Q86">
        <v>1000</v>
      </c>
      <c r="W86">
        <v>0</v>
      </c>
      <c r="X86">
        <v>485376408</v>
      </c>
      <c r="Y86">
        <v>1</v>
      </c>
      <c r="AA86">
        <v>75026.559999999998</v>
      </c>
      <c r="AB86">
        <v>0</v>
      </c>
      <c r="AC86">
        <v>0</v>
      </c>
      <c r="AD86">
        <v>0</v>
      </c>
      <c r="AE86">
        <v>75026.559999999998</v>
      </c>
      <c r="AF86">
        <v>0</v>
      </c>
      <c r="AG86">
        <v>0</v>
      </c>
      <c r="AH86">
        <v>0</v>
      </c>
      <c r="AI86">
        <v>1</v>
      </c>
      <c r="AJ86">
        <v>1</v>
      </c>
      <c r="AK86">
        <v>1</v>
      </c>
      <c r="AL86">
        <v>1</v>
      </c>
      <c r="AN86">
        <v>0</v>
      </c>
      <c r="AO86">
        <v>1</v>
      </c>
      <c r="AP86">
        <v>0</v>
      </c>
      <c r="AQ86">
        <v>0</v>
      </c>
      <c r="AR86">
        <v>0</v>
      </c>
      <c r="AS86" t="s">
        <v>3</v>
      </c>
      <c r="AT86">
        <v>1</v>
      </c>
      <c r="AU86" t="s">
        <v>3</v>
      </c>
      <c r="AV86">
        <v>0</v>
      </c>
      <c r="AW86">
        <v>2</v>
      </c>
      <c r="AX86">
        <v>38800013</v>
      </c>
      <c r="AY86">
        <v>1</v>
      </c>
      <c r="AZ86">
        <v>0</v>
      </c>
      <c r="BA86">
        <v>83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CX86">
        <f>Y86*Source!I89</f>
        <v>1.11307</v>
      </c>
      <c r="CY86">
        <f>AA86</f>
        <v>75026.559999999998</v>
      </c>
      <c r="CZ86">
        <f>AE86</f>
        <v>75026.559999999998</v>
      </c>
      <c r="DA86">
        <f>AI86</f>
        <v>1</v>
      </c>
      <c r="DB86">
        <f t="shared" si="7"/>
        <v>75026.559999999998</v>
      </c>
      <c r="DC86">
        <f t="shared" si="8"/>
        <v>0</v>
      </c>
    </row>
    <row r="87" spans="1:107" x14ac:dyDescent="0.2">
      <c r="A87">
        <f>ROW(Source!A90)</f>
        <v>90</v>
      </c>
      <c r="B87">
        <v>38799519</v>
      </c>
      <c r="C87">
        <v>38799876</v>
      </c>
      <c r="D87">
        <v>38451941</v>
      </c>
      <c r="E87">
        <v>27</v>
      </c>
      <c r="F87">
        <v>1</v>
      </c>
      <c r="G87">
        <v>27</v>
      </c>
      <c r="H87">
        <v>1</v>
      </c>
      <c r="I87" t="s">
        <v>387</v>
      </c>
      <c r="J87" t="s">
        <v>3</v>
      </c>
      <c r="K87" t="s">
        <v>388</v>
      </c>
      <c r="L87">
        <v>1191</v>
      </c>
      <c r="N87">
        <v>1013</v>
      </c>
      <c r="O87" t="s">
        <v>389</v>
      </c>
      <c r="P87" t="s">
        <v>389</v>
      </c>
      <c r="Q87">
        <v>1</v>
      </c>
      <c r="W87">
        <v>0</v>
      </c>
      <c r="X87">
        <v>476480486</v>
      </c>
      <c r="Y87">
        <v>74.290000000000006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1</v>
      </c>
      <c r="AN87">
        <v>0</v>
      </c>
      <c r="AO87">
        <v>1</v>
      </c>
      <c r="AP87">
        <v>0</v>
      </c>
      <c r="AQ87">
        <v>0</v>
      </c>
      <c r="AR87">
        <v>0</v>
      </c>
      <c r="AS87" t="s">
        <v>3</v>
      </c>
      <c r="AT87">
        <v>74.290000000000006</v>
      </c>
      <c r="AU87" t="s">
        <v>3</v>
      </c>
      <c r="AV87">
        <v>1</v>
      </c>
      <c r="AW87">
        <v>2</v>
      </c>
      <c r="AX87">
        <v>38800014</v>
      </c>
      <c r="AY87">
        <v>1</v>
      </c>
      <c r="AZ87">
        <v>0</v>
      </c>
      <c r="BA87">
        <v>84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CX87">
        <f>Y87*Source!I90</f>
        <v>66.861000000000004</v>
      </c>
      <c r="CY87">
        <f>AD87</f>
        <v>0</v>
      </c>
      <c r="CZ87">
        <f>AH87</f>
        <v>0</v>
      </c>
      <c r="DA87">
        <f>AL87</f>
        <v>1</v>
      </c>
      <c r="DB87">
        <f t="shared" si="7"/>
        <v>0</v>
      </c>
      <c r="DC87">
        <f t="shared" si="8"/>
        <v>0</v>
      </c>
    </row>
    <row r="88" spans="1:107" x14ac:dyDescent="0.2">
      <c r="A88">
        <f>ROW(Source!A90)</f>
        <v>90</v>
      </c>
      <c r="B88">
        <v>38799519</v>
      </c>
      <c r="C88">
        <v>38799876</v>
      </c>
      <c r="D88">
        <v>38465559</v>
      </c>
      <c r="E88">
        <v>1</v>
      </c>
      <c r="F88">
        <v>1</v>
      </c>
      <c r="G88">
        <v>27</v>
      </c>
      <c r="H88">
        <v>3</v>
      </c>
      <c r="I88" t="s">
        <v>529</v>
      </c>
      <c r="J88" t="s">
        <v>530</v>
      </c>
      <c r="K88" t="s">
        <v>531</v>
      </c>
      <c r="L88">
        <v>1348</v>
      </c>
      <c r="N88">
        <v>1009</v>
      </c>
      <c r="O88" t="s">
        <v>155</v>
      </c>
      <c r="P88" t="s">
        <v>155</v>
      </c>
      <c r="Q88">
        <v>1000</v>
      </c>
      <c r="W88">
        <v>0</v>
      </c>
      <c r="X88">
        <v>-1496551476</v>
      </c>
      <c r="Y88">
        <v>2.46E-2</v>
      </c>
      <c r="AA88">
        <v>81012.06</v>
      </c>
      <c r="AB88">
        <v>0</v>
      </c>
      <c r="AC88">
        <v>0</v>
      </c>
      <c r="AD88">
        <v>0</v>
      </c>
      <c r="AE88">
        <v>81012.06</v>
      </c>
      <c r="AF88">
        <v>0</v>
      </c>
      <c r="AG88">
        <v>0</v>
      </c>
      <c r="AH88">
        <v>0</v>
      </c>
      <c r="AI88">
        <v>1</v>
      </c>
      <c r="AJ88">
        <v>1</v>
      </c>
      <c r="AK88">
        <v>1</v>
      </c>
      <c r="AL88">
        <v>1</v>
      </c>
      <c r="AN88">
        <v>0</v>
      </c>
      <c r="AO88">
        <v>1</v>
      </c>
      <c r="AP88">
        <v>0</v>
      </c>
      <c r="AQ88">
        <v>0</v>
      </c>
      <c r="AR88">
        <v>0</v>
      </c>
      <c r="AS88" t="s">
        <v>3</v>
      </c>
      <c r="AT88">
        <v>2.46E-2</v>
      </c>
      <c r="AU88" t="s">
        <v>3</v>
      </c>
      <c r="AV88">
        <v>0</v>
      </c>
      <c r="AW88">
        <v>2</v>
      </c>
      <c r="AX88">
        <v>38800015</v>
      </c>
      <c r="AY88">
        <v>1</v>
      </c>
      <c r="AZ88">
        <v>0</v>
      </c>
      <c r="BA88">
        <v>85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CX88">
        <f>Y88*Source!I90</f>
        <v>2.214E-2</v>
      </c>
      <c r="CY88">
        <f>AA88</f>
        <v>81012.06</v>
      </c>
      <c r="CZ88">
        <f>AE88</f>
        <v>81012.06</v>
      </c>
      <c r="DA88">
        <f>AI88</f>
        <v>1</v>
      </c>
      <c r="DB88">
        <f t="shared" si="7"/>
        <v>1992.9</v>
      </c>
      <c r="DC88">
        <f t="shared" si="8"/>
        <v>0</v>
      </c>
    </row>
    <row r="89" spans="1:107" x14ac:dyDescent="0.2">
      <c r="A89">
        <f>ROW(Source!A90)</f>
        <v>90</v>
      </c>
      <c r="B89">
        <v>38799519</v>
      </c>
      <c r="C89">
        <v>38799876</v>
      </c>
      <c r="D89">
        <v>38465600</v>
      </c>
      <c r="E89">
        <v>1</v>
      </c>
      <c r="F89">
        <v>1</v>
      </c>
      <c r="G89">
        <v>27</v>
      </c>
      <c r="H89">
        <v>3</v>
      </c>
      <c r="I89" t="s">
        <v>532</v>
      </c>
      <c r="J89" t="s">
        <v>533</v>
      </c>
      <c r="K89" t="s">
        <v>534</v>
      </c>
      <c r="L89">
        <v>1346</v>
      </c>
      <c r="N89">
        <v>1009</v>
      </c>
      <c r="O89" t="s">
        <v>474</v>
      </c>
      <c r="P89" t="s">
        <v>474</v>
      </c>
      <c r="Q89">
        <v>1</v>
      </c>
      <c r="W89">
        <v>0</v>
      </c>
      <c r="X89">
        <v>1572261892</v>
      </c>
      <c r="Y89">
        <v>2.7</v>
      </c>
      <c r="AA89">
        <v>78.180000000000007</v>
      </c>
      <c r="AB89">
        <v>0</v>
      </c>
      <c r="AC89">
        <v>0</v>
      </c>
      <c r="AD89">
        <v>0</v>
      </c>
      <c r="AE89">
        <v>78.180000000000007</v>
      </c>
      <c r="AF89">
        <v>0</v>
      </c>
      <c r="AG89">
        <v>0</v>
      </c>
      <c r="AH89">
        <v>0</v>
      </c>
      <c r="AI89">
        <v>1</v>
      </c>
      <c r="AJ89">
        <v>1</v>
      </c>
      <c r="AK89">
        <v>1</v>
      </c>
      <c r="AL89">
        <v>1</v>
      </c>
      <c r="AN89">
        <v>0</v>
      </c>
      <c r="AO89">
        <v>1</v>
      </c>
      <c r="AP89">
        <v>0</v>
      </c>
      <c r="AQ89">
        <v>0</v>
      </c>
      <c r="AR89">
        <v>0</v>
      </c>
      <c r="AS89" t="s">
        <v>3</v>
      </c>
      <c r="AT89">
        <v>2.7</v>
      </c>
      <c r="AU89" t="s">
        <v>3</v>
      </c>
      <c r="AV89">
        <v>0</v>
      </c>
      <c r="AW89">
        <v>2</v>
      </c>
      <c r="AX89">
        <v>38800016</v>
      </c>
      <c r="AY89">
        <v>1</v>
      </c>
      <c r="AZ89">
        <v>0</v>
      </c>
      <c r="BA89">
        <v>86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CX89">
        <f>Y89*Source!I90</f>
        <v>2.4300000000000002</v>
      </c>
      <c r="CY89">
        <f>AA89</f>
        <v>78.180000000000007</v>
      </c>
      <c r="CZ89">
        <f>AE89</f>
        <v>78.180000000000007</v>
      </c>
      <c r="DA89">
        <f>AI89</f>
        <v>1</v>
      </c>
      <c r="DB89">
        <f t="shared" si="7"/>
        <v>211.09</v>
      </c>
      <c r="DC89">
        <f t="shared" si="8"/>
        <v>0</v>
      </c>
    </row>
    <row r="90" spans="1:107" x14ac:dyDescent="0.2">
      <c r="A90">
        <f>ROW(Source!A91)</f>
        <v>91</v>
      </c>
      <c r="B90">
        <v>38799519</v>
      </c>
      <c r="C90">
        <v>38799883</v>
      </c>
      <c r="D90">
        <v>38451941</v>
      </c>
      <c r="E90">
        <v>27</v>
      </c>
      <c r="F90">
        <v>1</v>
      </c>
      <c r="G90">
        <v>27</v>
      </c>
      <c r="H90">
        <v>1</v>
      </c>
      <c r="I90" t="s">
        <v>387</v>
      </c>
      <c r="J90" t="s">
        <v>3</v>
      </c>
      <c r="K90" t="s">
        <v>388</v>
      </c>
      <c r="L90">
        <v>1191</v>
      </c>
      <c r="N90">
        <v>1013</v>
      </c>
      <c r="O90" t="s">
        <v>389</v>
      </c>
      <c r="P90" t="s">
        <v>389</v>
      </c>
      <c r="Q90">
        <v>1</v>
      </c>
      <c r="W90">
        <v>0</v>
      </c>
      <c r="X90">
        <v>476480486</v>
      </c>
      <c r="Y90">
        <v>91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1</v>
      </c>
      <c r="AK90">
        <v>1</v>
      </c>
      <c r="AL90">
        <v>1</v>
      </c>
      <c r="AN90">
        <v>0</v>
      </c>
      <c r="AO90">
        <v>1</v>
      </c>
      <c r="AP90">
        <v>0</v>
      </c>
      <c r="AQ90">
        <v>0</v>
      </c>
      <c r="AR90">
        <v>0</v>
      </c>
      <c r="AS90" t="s">
        <v>3</v>
      </c>
      <c r="AT90">
        <v>91</v>
      </c>
      <c r="AU90" t="s">
        <v>3</v>
      </c>
      <c r="AV90">
        <v>1</v>
      </c>
      <c r="AW90">
        <v>2</v>
      </c>
      <c r="AX90">
        <v>38800017</v>
      </c>
      <c r="AY90">
        <v>1</v>
      </c>
      <c r="AZ90">
        <v>0</v>
      </c>
      <c r="BA90">
        <v>87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CX90">
        <f>Y90*Source!I91</f>
        <v>129.62040000000002</v>
      </c>
      <c r="CY90">
        <f>AD90</f>
        <v>0</v>
      </c>
      <c r="CZ90">
        <f>AH90</f>
        <v>0</v>
      </c>
      <c r="DA90">
        <f>AL90</f>
        <v>1</v>
      </c>
      <c r="DB90">
        <f t="shared" si="7"/>
        <v>0</v>
      </c>
      <c r="DC90">
        <f t="shared" si="8"/>
        <v>0</v>
      </c>
    </row>
    <row r="91" spans="1:107" x14ac:dyDescent="0.2">
      <c r="A91">
        <f>ROW(Source!A91)</f>
        <v>91</v>
      </c>
      <c r="B91">
        <v>38799519</v>
      </c>
      <c r="C91">
        <v>38799883</v>
      </c>
      <c r="D91">
        <v>38465122</v>
      </c>
      <c r="E91">
        <v>1</v>
      </c>
      <c r="F91">
        <v>1</v>
      </c>
      <c r="G91">
        <v>27</v>
      </c>
      <c r="H91">
        <v>2</v>
      </c>
      <c r="I91" t="s">
        <v>456</v>
      </c>
      <c r="J91" t="s">
        <v>457</v>
      </c>
      <c r="K91" t="s">
        <v>458</v>
      </c>
      <c r="L91">
        <v>1368</v>
      </c>
      <c r="N91">
        <v>1011</v>
      </c>
      <c r="O91" t="s">
        <v>393</v>
      </c>
      <c r="P91" t="s">
        <v>393</v>
      </c>
      <c r="Q91">
        <v>1</v>
      </c>
      <c r="W91">
        <v>0</v>
      </c>
      <c r="X91">
        <v>-1222982568</v>
      </c>
      <c r="Y91">
        <v>11.96</v>
      </c>
      <c r="AA91">
        <v>0</v>
      </c>
      <c r="AB91">
        <v>7.44</v>
      </c>
      <c r="AC91">
        <v>0.98</v>
      </c>
      <c r="AD91">
        <v>0</v>
      </c>
      <c r="AE91">
        <v>0</v>
      </c>
      <c r="AF91">
        <v>7.44</v>
      </c>
      <c r="AG91">
        <v>0.98</v>
      </c>
      <c r="AH91">
        <v>0</v>
      </c>
      <c r="AI91">
        <v>1</v>
      </c>
      <c r="AJ91">
        <v>1</v>
      </c>
      <c r="AK91">
        <v>1</v>
      </c>
      <c r="AL91">
        <v>1</v>
      </c>
      <c r="AN91">
        <v>0</v>
      </c>
      <c r="AO91">
        <v>1</v>
      </c>
      <c r="AP91">
        <v>0</v>
      </c>
      <c r="AQ91">
        <v>0</v>
      </c>
      <c r="AR91">
        <v>0</v>
      </c>
      <c r="AS91" t="s">
        <v>3</v>
      </c>
      <c r="AT91">
        <v>11.96</v>
      </c>
      <c r="AU91" t="s">
        <v>3</v>
      </c>
      <c r="AV91">
        <v>0</v>
      </c>
      <c r="AW91">
        <v>2</v>
      </c>
      <c r="AX91">
        <v>38800018</v>
      </c>
      <c r="AY91">
        <v>1</v>
      </c>
      <c r="AZ91">
        <v>0</v>
      </c>
      <c r="BA91">
        <v>88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CX91">
        <f>Y91*Source!I91</f>
        <v>17.035824000000002</v>
      </c>
      <c r="CY91">
        <f>AB91</f>
        <v>7.44</v>
      </c>
      <c r="CZ91">
        <f>AF91</f>
        <v>7.44</v>
      </c>
      <c r="DA91">
        <f>AJ91</f>
        <v>1</v>
      </c>
      <c r="DB91">
        <f t="shared" si="7"/>
        <v>88.98</v>
      </c>
      <c r="DC91">
        <f t="shared" si="8"/>
        <v>11.72</v>
      </c>
    </row>
    <row r="92" spans="1:107" x14ac:dyDescent="0.2">
      <c r="A92">
        <f>ROW(Source!A91)</f>
        <v>91</v>
      </c>
      <c r="B92">
        <v>38799519</v>
      </c>
      <c r="C92">
        <v>38799883</v>
      </c>
      <c r="D92">
        <v>38465064</v>
      </c>
      <c r="E92">
        <v>1</v>
      </c>
      <c r="F92">
        <v>1</v>
      </c>
      <c r="G92">
        <v>27</v>
      </c>
      <c r="H92">
        <v>2</v>
      </c>
      <c r="I92" t="s">
        <v>535</v>
      </c>
      <c r="J92" t="s">
        <v>536</v>
      </c>
      <c r="K92" t="s">
        <v>537</v>
      </c>
      <c r="L92">
        <v>1368</v>
      </c>
      <c r="N92">
        <v>1011</v>
      </c>
      <c r="O92" t="s">
        <v>393</v>
      </c>
      <c r="P92" t="s">
        <v>393</v>
      </c>
      <c r="Q92">
        <v>1</v>
      </c>
      <c r="W92">
        <v>0</v>
      </c>
      <c r="X92">
        <v>-1882981761</v>
      </c>
      <c r="Y92">
        <v>2.0499999999999998</v>
      </c>
      <c r="AA92">
        <v>0</v>
      </c>
      <c r="AB92">
        <v>4.58</v>
      </c>
      <c r="AC92">
        <v>0.01</v>
      </c>
      <c r="AD92">
        <v>0</v>
      </c>
      <c r="AE92">
        <v>0</v>
      </c>
      <c r="AF92">
        <v>4.58</v>
      </c>
      <c r="AG92">
        <v>0.01</v>
      </c>
      <c r="AH92">
        <v>0</v>
      </c>
      <c r="AI92">
        <v>1</v>
      </c>
      <c r="AJ92">
        <v>1</v>
      </c>
      <c r="AK92">
        <v>1</v>
      </c>
      <c r="AL92">
        <v>1</v>
      </c>
      <c r="AN92">
        <v>0</v>
      </c>
      <c r="AO92">
        <v>1</v>
      </c>
      <c r="AP92">
        <v>0</v>
      </c>
      <c r="AQ92">
        <v>0</v>
      </c>
      <c r="AR92">
        <v>0</v>
      </c>
      <c r="AS92" t="s">
        <v>3</v>
      </c>
      <c r="AT92">
        <v>2.0499999999999998</v>
      </c>
      <c r="AU92" t="s">
        <v>3</v>
      </c>
      <c r="AV92">
        <v>0</v>
      </c>
      <c r="AW92">
        <v>2</v>
      </c>
      <c r="AX92">
        <v>38800019</v>
      </c>
      <c r="AY92">
        <v>1</v>
      </c>
      <c r="AZ92">
        <v>0</v>
      </c>
      <c r="BA92">
        <v>89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CX92">
        <f>Y92*Source!I91</f>
        <v>2.9200200000000001</v>
      </c>
      <c r="CY92">
        <f>AB92</f>
        <v>4.58</v>
      </c>
      <c r="CZ92">
        <f>AF92</f>
        <v>4.58</v>
      </c>
      <c r="DA92">
        <f>AJ92</f>
        <v>1</v>
      </c>
      <c r="DB92">
        <f t="shared" si="7"/>
        <v>9.39</v>
      </c>
      <c r="DC92">
        <f t="shared" si="8"/>
        <v>0.02</v>
      </c>
    </row>
    <row r="93" spans="1:107" x14ac:dyDescent="0.2">
      <c r="A93">
        <f>ROW(Source!A91)</f>
        <v>91</v>
      </c>
      <c r="B93">
        <v>38799519</v>
      </c>
      <c r="C93">
        <v>38799883</v>
      </c>
      <c r="D93">
        <v>38465084</v>
      </c>
      <c r="E93">
        <v>1</v>
      </c>
      <c r="F93">
        <v>1</v>
      </c>
      <c r="G93">
        <v>27</v>
      </c>
      <c r="H93">
        <v>2</v>
      </c>
      <c r="I93" t="s">
        <v>538</v>
      </c>
      <c r="J93" t="s">
        <v>539</v>
      </c>
      <c r="K93" t="s">
        <v>540</v>
      </c>
      <c r="L93">
        <v>1368</v>
      </c>
      <c r="N93">
        <v>1011</v>
      </c>
      <c r="O93" t="s">
        <v>393</v>
      </c>
      <c r="P93" t="s">
        <v>393</v>
      </c>
      <c r="Q93">
        <v>1</v>
      </c>
      <c r="W93">
        <v>0</v>
      </c>
      <c r="X93">
        <v>-1816839109</v>
      </c>
      <c r="Y93">
        <v>2.4</v>
      </c>
      <c r="AA93">
        <v>0</v>
      </c>
      <c r="AB93">
        <v>5.08</v>
      </c>
      <c r="AC93">
        <v>0.01</v>
      </c>
      <c r="AD93">
        <v>0</v>
      </c>
      <c r="AE93">
        <v>0</v>
      </c>
      <c r="AF93">
        <v>5.08</v>
      </c>
      <c r="AG93">
        <v>0.01</v>
      </c>
      <c r="AH93">
        <v>0</v>
      </c>
      <c r="AI93">
        <v>1</v>
      </c>
      <c r="AJ93">
        <v>1</v>
      </c>
      <c r="AK93">
        <v>1</v>
      </c>
      <c r="AL93">
        <v>1</v>
      </c>
      <c r="AN93">
        <v>0</v>
      </c>
      <c r="AO93">
        <v>1</v>
      </c>
      <c r="AP93">
        <v>0</v>
      </c>
      <c r="AQ93">
        <v>0</v>
      </c>
      <c r="AR93">
        <v>0</v>
      </c>
      <c r="AS93" t="s">
        <v>3</v>
      </c>
      <c r="AT93">
        <v>2.4</v>
      </c>
      <c r="AU93" t="s">
        <v>3</v>
      </c>
      <c r="AV93">
        <v>0</v>
      </c>
      <c r="AW93">
        <v>2</v>
      </c>
      <c r="AX93">
        <v>38800020</v>
      </c>
      <c r="AY93">
        <v>1</v>
      </c>
      <c r="AZ93">
        <v>0</v>
      </c>
      <c r="BA93">
        <v>90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CX93">
        <f>Y93*Source!I91</f>
        <v>3.4185600000000003</v>
      </c>
      <c r="CY93">
        <f>AB93</f>
        <v>5.08</v>
      </c>
      <c r="CZ93">
        <f>AF93</f>
        <v>5.08</v>
      </c>
      <c r="DA93">
        <f>AJ93</f>
        <v>1</v>
      </c>
      <c r="DB93">
        <f t="shared" si="7"/>
        <v>12.19</v>
      </c>
      <c r="DC93">
        <f t="shared" si="8"/>
        <v>0.02</v>
      </c>
    </row>
    <row r="94" spans="1:107" x14ac:dyDescent="0.2">
      <c r="A94">
        <f>ROW(Source!A91)</f>
        <v>91</v>
      </c>
      <c r="B94">
        <v>38799519</v>
      </c>
      <c r="C94">
        <v>38799883</v>
      </c>
      <c r="D94">
        <v>38466764</v>
      </c>
      <c r="E94">
        <v>1</v>
      </c>
      <c r="F94">
        <v>1</v>
      </c>
      <c r="G94">
        <v>27</v>
      </c>
      <c r="H94">
        <v>3</v>
      </c>
      <c r="I94" t="s">
        <v>541</v>
      </c>
      <c r="J94" t="s">
        <v>542</v>
      </c>
      <c r="K94" t="s">
        <v>543</v>
      </c>
      <c r="L94">
        <v>1301</v>
      </c>
      <c r="N94">
        <v>1003</v>
      </c>
      <c r="O94" t="s">
        <v>121</v>
      </c>
      <c r="P94" t="s">
        <v>121</v>
      </c>
      <c r="Q94">
        <v>1</v>
      </c>
      <c r="W94">
        <v>0</v>
      </c>
      <c r="X94">
        <v>867992357</v>
      </c>
      <c r="Y94">
        <v>43.73</v>
      </c>
      <c r="AA94">
        <v>16.09</v>
      </c>
      <c r="AB94">
        <v>0</v>
      </c>
      <c r="AC94">
        <v>0</v>
      </c>
      <c r="AD94">
        <v>0</v>
      </c>
      <c r="AE94">
        <v>16.09</v>
      </c>
      <c r="AF94">
        <v>0</v>
      </c>
      <c r="AG94">
        <v>0</v>
      </c>
      <c r="AH94">
        <v>0</v>
      </c>
      <c r="AI94">
        <v>1</v>
      </c>
      <c r="AJ94">
        <v>1</v>
      </c>
      <c r="AK94">
        <v>1</v>
      </c>
      <c r="AL94">
        <v>1</v>
      </c>
      <c r="AN94">
        <v>0</v>
      </c>
      <c r="AO94">
        <v>1</v>
      </c>
      <c r="AP94">
        <v>0</v>
      </c>
      <c r="AQ94">
        <v>0</v>
      </c>
      <c r="AR94">
        <v>0</v>
      </c>
      <c r="AS94" t="s">
        <v>3</v>
      </c>
      <c r="AT94">
        <v>43.73</v>
      </c>
      <c r="AU94" t="s">
        <v>3</v>
      </c>
      <c r="AV94">
        <v>0</v>
      </c>
      <c r="AW94">
        <v>2</v>
      </c>
      <c r="AX94">
        <v>38800021</v>
      </c>
      <c r="AY94">
        <v>1</v>
      </c>
      <c r="AZ94">
        <v>0</v>
      </c>
      <c r="BA94">
        <v>91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CX94">
        <f>Y94*Source!I91</f>
        <v>62.289012</v>
      </c>
      <c r="CY94">
        <f t="shared" ref="CY94:CY103" si="9">AA94</f>
        <v>16.09</v>
      </c>
      <c r="CZ94">
        <f t="shared" ref="CZ94:CZ103" si="10">AE94</f>
        <v>16.09</v>
      </c>
      <c r="DA94">
        <f t="shared" ref="DA94:DA103" si="11">AI94</f>
        <v>1</v>
      </c>
      <c r="DB94">
        <f t="shared" si="7"/>
        <v>703.62</v>
      </c>
      <c r="DC94">
        <f t="shared" si="8"/>
        <v>0</v>
      </c>
    </row>
    <row r="95" spans="1:107" x14ac:dyDescent="0.2">
      <c r="A95">
        <f>ROW(Source!A91)</f>
        <v>91</v>
      </c>
      <c r="B95">
        <v>38799519</v>
      </c>
      <c r="C95">
        <v>38799883</v>
      </c>
      <c r="D95">
        <v>38466765</v>
      </c>
      <c r="E95">
        <v>1</v>
      </c>
      <c r="F95">
        <v>1</v>
      </c>
      <c r="G95">
        <v>27</v>
      </c>
      <c r="H95">
        <v>3</v>
      </c>
      <c r="I95" t="s">
        <v>544</v>
      </c>
      <c r="J95" t="s">
        <v>545</v>
      </c>
      <c r="K95" t="s">
        <v>546</v>
      </c>
      <c r="L95">
        <v>1301</v>
      </c>
      <c r="N95">
        <v>1003</v>
      </c>
      <c r="O95" t="s">
        <v>121</v>
      </c>
      <c r="P95" t="s">
        <v>121</v>
      </c>
      <c r="Q95">
        <v>1</v>
      </c>
      <c r="W95">
        <v>0</v>
      </c>
      <c r="X95">
        <v>1705929729</v>
      </c>
      <c r="Y95">
        <v>43.73</v>
      </c>
      <c r="AA95">
        <v>32.99</v>
      </c>
      <c r="AB95">
        <v>0</v>
      </c>
      <c r="AC95">
        <v>0</v>
      </c>
      <c r="AD95">
        <v>0</v>
      </c>
      <c r="AE95">
        <v>32.99</v>
      </c>
      <c r="AF95">
        <v>0</v>
      </c>
      <c r="AG95">
        <v>0</v>
      </c>
      <c r="AH95">
        <v>0</v>
      </c>
      <c r="AI95">
        <v>1</v>
      </c>
      <c r="AJ95">
        <v>1</v>
      </c>
      <c r="AK95">
        <v>1</v>
      </c>
      <c r="AL95">
        <v>1</v>
      </c>
      <c r="AN95">
        <v>0</v>
      </c>
      <c r="AO95">
        <v>1</v>
      </c>
      <c r="AP95">
        <v>0</v>
      </c>
      <c r="AQ95">
        <v>0</v>
      </c>
      <c r="AR95">
        <v>0</v>
      </c>
      <c r="AS95" t="s">
        <v>3</v>
      </c>
      <c r="AT95">
        <v>43.73</v>
      </c>
      <c r="AU95" t="s">
        <v>3</v>
      </c>
      <c r="AV95">
        <v>0</v>
      </c>
      <c r="AW95">
        <v>2</v>
      </c>
      <c r="AX95">
        <v>38800022</v>
      </c>
      <c r="AY95">
        <v>1</v>
      </c>
      <c r="AZ95">
        <v>0</v>
      </c>
      <c r="BA95">
        <v>92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CX95">
        <f>Y95*Source!I91</f>
        <v>62.289012</v>
      </c>
      <c r="CY95">
        <f t="shared" si="9"/>
        <v>32.99</v>
      </c>
      <c r="CZ95">
        <f t="shared" si="10"/>
        <v>32.99</v>
      </c>
      <c r="DA95">
        <f t="shared" si="11"/>
        <v>1</v>
      </c>
      <c r="DB95">
        <f t="shared" si="7"/>
        <v>1442.65</v>
      </c>
      <c r="DC95">
        <f t="shared" si="8"/>
        <v>0</v>
      </c>
    </row>
    <row r="96" spans="1:107" x14ac:dyDescent="0.2">
      <c r="A96">
        <f>ROW(Source!A91)</f>
        <v>91</v>
      </c>
      <c r="B96">
        <v>38799519</v>
      </c>
      <c r="C96">
        <v>38799883</v>
      </c>
      <c r="D96">
        <v>38467857</v>
      </c>
      <c r="E96">
        <v>1</v>
      </c>
      <c r="F96">
        <v>1</v>
      </c>
      <c r="G96">
        <v>27</v>
      </c>
      <c r="H96">
        <v>3</v>
      </c>
      <c r="I96" t="s">
        <v>547</v>
      </c>
      <c r="J96" t="s">
        <v>548</v>
      </c>
      <c r="K96" t="s">
        <v>549</v>
      </c>
      <c r="L96">
        <v>1327</v>
      </c>
      <c r="N96">
        <v>1005</v>
      </c>
      <c r="O96" t="s">
        <v>289</v>
      </c>
      <c r="P96" t="s">
        <v>289</v>
      </c>
      <c r="Q96">
        <v>1</v>
      </c>
      <c r="W96">
        <v>0</v>
      </c>
      <c r="X96">
        <v>-1899152458</v>
      </c>
      <c r="Y96">
        <v>101.5</v>
      </c>
      <c r="AA96">
        <v>245.08</v>
      </c>
      <c r="AB96">
        <v>0</v>
      </c>
      <c r="AC96">
        <v>0</v>
      </c>
      <c r="AD96">
        <v>0</v>
      </c>
      <c r="AE96">
        <v>245.08</v>
      </c>
      <c r="AF96">
        <v>0</v>
      </c>
      <c r="AG96">
        <v>0</v>
      </c>
      <c r="AH96">
        <v>0</v>
      </c>
      <c r="AI96">
        <v>1</v>
      </c>
      <c r="AJ96">
        <v>1</v>
      </c>
      <c r="AK96">
        <v>1</v>
      </c>
      <c r="AL96">
        <v>1</v>
      </c>
      <c r="AN96">
        <v>0</v>
      </c>
      <c r="AO96">
        <v>1</v>
      </c>
      <c r="AP96">
        <v>0</v>
      </c>
      <c r="AQ96">
        <v>0</v>
      </c>
      <c r="AR96">
        <v>0</v>
      </c>
      <c r="AS96" t="s">
        <v>3</v>
      </c>
      <c r="AT96">
        <v>101.5</v>
      </c>
      <c r="AU96" t="s">
        <v>3</v>
      </c>
      <c r="AV96">
        <v>0</v>
      </c>
      <c r="AW96">
        <v>2</v>
      </c>
      <c r="AX96">
        <v>38800023</v>
      </c>
      <c r="AY96">
        <v>1</v>
      </c>
      <c r="AZ96">
        <v>0</v>
      </c>
      <c r="BA96">
        <v>93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CX96">
        <f>Y96*Source!I91</f>
        <v>144.57660000000001</v>
      </c>
      <c r="CY96">
        <f t="shared" si="9"/>
        <v>245.08</v>
      </c>
      <c r="CZ96">
        <f t="shared" si="10"/>
        <v>245.08</v>
      </c>
      <c r="DA96">
        <f t="shared" si="11"/>
        <v>1</v>
      </c>
      <c r="DB96">
        <f t="shared" si="7"/>
        <v>24875.62</v>
      </c>
      <c r="DC96">
        <f t="shared" si="8"/>
        <v>0</v>
      </c>
    </row>
    <row r="97" spans="1:107" x14ac:dyDescent="0.2">
      <c r="A97">
        <f>ROW(Source!A91)</f>
        <v>91</v>
      </c>
      <c r="B97">
        <v>38799519</v>
      </c>
      <c r="C97">
        <v>38799883</v>
      </c>
      <c r="D97">
        <v>38467859</v>
      </c>
      <c r="E97">
        <v>1</v>
      </c>
      <c r="F97">
        <v>1</v>
      </c>
      <c r="G97">
        <v>27</v>
      </c>
      <c r="H97">
        <v>3</v>
      </c>
      <c r="I97" t="s">
        <v>550</v>
      </c>
      <c r="J97" t="s">
        <v>551</v>
      </c>
      <c r="K97" t="s">
        <v>552</v>
      </c>
      <c r="L97">
        <v>1301</v>
      </c>
      <c r="N97">
        <v>1003</v>
      </c>
      <c r="O97" t="s">
        <v>121</v>
      </c>
      <c r="P97" t="s">
        <v>121</v>
      </c>
      <c r="Q97">
        <v>1</v>
      </c>
      <c r="W97">
        <v>0</v>
      </c>
      <c r="X97">
        <v>-474683052</v>
      </c>
      <c r="Y97">
        <v>87.47</v>
      </c>
      <c r="AA97">
        <v>28.43</v>
      </c>
      <c r="AB97">
        <v>0</v>
      </c>
      <c r="AC97">
        <v>0</v>
      </c>
      <c r="AD97">
        <v>0</v>
      </c>
      <c r="AE97">
        <v>28.43</v>
      </c>
      <c r="AF97">
        <v>0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1</v>
      </c>
      <c r="AN97">
        <v>0</v>
      </c>
      <c r="AO97">
        <v>1</v>
      </c>
      <c r="AP97">
        <v>0</v>
      </c>
      <c r="AQ97">
        <v>0</v>
      </c>
      <c r="AR97">
        <v>0</v>
      </c>
      <c r="AS97" t="s">
        <v>3</v>
      </c>
      <c r="AT97">
        <v>87.47</v>
      </c>
      <c r="AU97" t="s">
        <v>3</v>
      </c>
      <c r="AV97">
        <v>0</v>
      </c>
      <c r="AW97">
        <v>2</v>
      </c>
      <c r="AX97">
        <v>38800024</v>
      </c>
      <c r="AY97">
        <v>1</v>
      </c>
      <c r="AZ97">
        <v>0</v>
      </c>
      <c r="BA97">
        <v>94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CX97">
        <f>Y97*Source!I91</f>
        <v>124.592268</v>
      </c>
      <c r="CY97">
        <f t="shared" si="9"/>
        <v>28.43</v>
      </c>
      <c r="CZ97">
        <f t="shared" si="10"/>
        <v>28.43</v>
      </c>
      <c r="DA97">
        <f t="shared" si="11"/>
        <v>1</v>
      </c>
      <c r="DB97">
        <f t="shared" si="7"/>
        <v>2486.77</v>
      </c>
      <c r="DC97">
        <f t="shared" si="8"/>
        <v>0</v>
      </c>
    </row>
    <row r="98" spans="1:107" x14ac:dyDescent="0.2">
      <c r="A98">
        <f>ROW(Source!A91)</f>
        <v>91</v>
      </c>
      <c r="B98">
        <v>38799519</v>
      </c>
      <c r="C98">
        <v>38799883</v>
      </c>
      <c r="D98">
        <v>38467560</v>
      </c>
      <c r="E98">
        <v>1</v>
      </c>
      <c r="F98">
        <v>1</v>
      </c>
      <c r="G98">
        <v>27</v>
      </c>
      <c r="H98">
        <v>3</v>
      </c>
      <c r="I98" t="s">
        <v>553</v>
      </c>
      <c r="J98" t="s">
        <v>554</v>
      </c>
      <c r="K98" t="s">
        <v>555</v>
      </c>
      <c r="L98">
        <v>1355</v>
      </c>
      <c r="N98">
        <v>1010</v>
      </c>
      <c r="O98" t="s">
        <v>556</v>
      </c>
      <c r="P98" t="s">
        <v>556</v>
      </c>
      <c r="Q98">
        <v>100</v>
      </c>
      <c r="W98">
        <v>0</v>
      </c>
      <c r="X98">
        <v>456507783</v>
      </c>
      <c r="Y98">
        <v>0.91</v>
      </c>
      <c r="AA98">
        <v>851.18</v>
      </c>
      <c r="AB98">
        <v>0</v>
      </c>
      <c r="AC98">
        <v>0</v>
      </c>
      <c r="AD98">
        <v>0</v>
      </c>
      <c r="AE98">
        <v>851.18</v>
      </c>
      <c r="AF98">
        <v>0</v>
      </c>
      <c r="AG98">
        <v>0</v>
      </c>
      <c r="AH98">
        <v>0</v>
      </c>
      <c r="AI98">
        <v>1</v>
      </c>
      <c r="AJ98">
        <v>1</v>
      </c>
      <c r="AK98">
        <v>1</v>
      </c>
      <c r="AL98">
        <v>1</v>
      </c>
      <c r="AN98">
        <v>0</v>
      </c>
      <c r="AO98">
        <v>1</v>
      </c>
      <c r="AP98">
        <v>0</v>
      </c>
      <c r="AQ98">
        <v>0</v>
      </c>
      <c r="AR98">
        <v>0</v>
      </c>
      <c r="AS98" t="s">
        <v>3</v>
      </c>
      <c r="AT98">
        <v>0.91</v>
      </c>
      <c r="AU98" t="s">
        <v>3</v>
      </c>
      <c r="AV98">
        <v>0</v>
      </c>
      <c r="AW98">
        <v>2</v>
      </c>
      <c r="AX98">
        <v>38800025</v>
      </c>
      <c r="AY98">
        <v>1</v>
      </c>
      <c r="AZ98">
        <v>0</v>
      </c>
      <c r="BA98">
        <v>95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CX98">
        <f>Y98*Source!I91</f>
        <v>1.2962040000000001</v>
      </c>
      <c r="CY98">
        <f t="shared" si="9"/>
        <v>851.18</v>
      </c>
      <c r="CZ98">
        <f t="shared" si="10"/>
        <v>851.18</v>
      </c>
      <c r="DA98">
        <f t="shared" si="11"/>
        <v>1</v>
      </c>
      <c r="DB98">
        <f t="shared" si="7"/>
        <v>774.57</v>
      </c>
      <c r="DC98">
        <f t="shared" si="8"/>
        <v>0</v>
      </c>
    </row>
    <row r="99" spans="1:107" x14ac:dyDescent="0.2">
      <c r="A99">
        <f>ROW(Source!A91)</f>
        <v>91</v>
      </c>
      <c r="B99">
        <v>38799519</v>
      </c>
      <c r="C99">
        <v>38799883</v>
      </c>
      <c r="D99">
        <v>38467563</v>
      </c>
      <c r="E99">
        <v>1</v>
      </c>
      <c r="F99">
        <v>1</v>
      </c>
      <c r="G99">
        <v>27</v>
      </c>
      <c r="H99">
        <v>3</v>
      </c>
      <c r="I99" t="s">
        <v>557</v>
      </c>
      <c r="J99" t="s">
        <v>558</v>
      </c>
      <c r="K99" t="s">
        <v>559</v>
      </c>
      <c r="L99">
        <v>1301</v>
      </c>
      <c r="N99">
        <v>1003</v>
      </c>
      <c r="O99" t="s">
        <v>121</v>
      </c>
      <c r="P99" t="s">
        <v>121</v>
      </c>
      <c r="Q99">
        <v>1</v>
      </c>
      <c r="W99">
        <v>0</v>
      </c>
      <c r="X99">
        <v>-1155863362</v>
      </c>
      <c r="Y99">
        <v>48.11</v>
      </c>
      <c r="AA99">
        <v>37.46</v>
      </c>
      <c r="AB99">
        <v>0</v>
      </c>
      <c r="AC99">
        <v>0</v>
      </c>
      <c r="AD99">
        <v>0</v>
      </c>
      <c r="AE99">
        <v>37.46</v>
      </c>
      <c r="AF99">
        <v>0</v>
      </c>
      <c r="AG99">
        <v>0</v>
      </c>
      <c r="AH99">
        <v>0</v>
      </c>
      <c r="AI99">
        <v>1</v>
      </c>
      <c r="AJ99">
        <v>1</v>
      </c>
      <c r="AK99">
        <v>1</v>
      </c>
      <c r="AL99">
        <v>1</v>
      </c>
      <c r="AN99">
        <v>0</v>
      </c>
      <c r="AO99">
        <v>1</v>
      </c>
      <c r="AP99">
        <v>0</v>
      </c>
      <c r="AQ99">
        <v>0</v>
      </c>
      <c r="AR99">
        <v>0</v>
      </c>
      <c r="AS99" t="s">
        <v>3</v>
      </c>
      <c r="AT99">
        <v>48.11</v>
      </c>
      <c r="AU99" t="s">
        <v>3</v>
      </c>
      <c r="AV99">
        <v>0</v>
      </c>
      <c r="AW99">
        <v>2</v>
      </c>
      <c r="AX99">
        <v>38800026</v>
      </c>
      <c r="AY99">
        <v>1</v>
      </c>
      <c r="AZ99">
        <v>0</v>
      </c>
      <c r="BA99">
        <v>96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CX99">
        <f>Y99*Source!I91</f>
        <v>68.527884</v>
      </c>
      <c r="CY99">
        <f t="shared" si="9"/>
        <v>37.46</v>
      </c>
      <c r="CZ99">
        <f t="shared" si="10"/>
        <v>37.46</v>
      </c>
      <c r="DA99">
        <f t="shared" si="11"/>
        <v>1</v>
      </c>
      <c r="DB99">
        <f t="shared" si="7"/>
        <v>1802.2</v>
      </c>
      <c r="DC99">
        <f t="shared" si="8"/>
        <v>0</v>
      </c>
    </row>
    <row r="100" spans="1:107" x14ac:dyDescent="0.2">
      <c r="A100">
        <f>ROW(Source!A91)</f>
        <v>91</v>
      </c>
      <c r="B100">
        <v>38799519</v>
      </c>
      <c r="C100">
        <v>38799883</v>
      </c>
      <c r="D100">
        <v>38467564</v>
      </c>
      <c r="E100">
        <v>1</v>
      </c>
      <c r="F100">
        <v>1</v>
      </c>
      <c r="G100">
        <v>27</v>
      </c>
      <c r="H100">
        <v>3</v>
      </c>
      <c r="I100" t="s">
        <v>560</v>
      </c>
      <c r="J100" t="s">
        <v>561</v>
      </c>
      <c r="K100" t="s">
        <v>562</v>
      </c>
      <c r="L100">
        <v>1301</v>
      </c>
      <c r="N100">
        <v>1003</v>
      </c>
      <c r="O100" t="s">
        <v>121</v>
      </c>
      <c r="P100" t="s">
        <v>121</v>
      </c>
      <c r="Q100">
        <v>1</v>
      </c>
      <c r="W100">
        <v>0</v>
      </c>
      <c r="X100">
        <v>123616094</v>
      </c>
      <c r="Y100">
        <v>48.11</v>
      </c>
      <c r="AA100">
        <v>153.38999999999999</v>
      </c>
      <c r="AB100">
        <v>0</v>
      </c>
      <c r="AC100">
        <v>0</v>
      </c>
      <c r="AD100">
        <v>0</v>
      </c>
      <c r="AE100">
        <v>153.38999999999999</v>
      </c>
      <c r="AF100">
        <v>0</v>
      </c>
      <c r="AG100">
        <v>0</v>
      </c>
      <c r="AH100">
        <v>0</v>
      </c>
      <c r="AI100">
        <v>1</v>
      </c>
      <c r="AJ100">
        <v>1</v>
      </c>
      <c r="AK100">
        <v>1</v>
      </c>
      <c r="AL100">
        <v>1</v>
      </c>
      <c r="AN100">
        <v>0</v>
      </c>
      <c r="AO100">
        <v>1</v>
      </c>
      <c r="AP100">
        <v>0</v>
      </c>
      <c r="AQ100">
        <v>0</v>
      </c>
      <c r="AR100">
        <v>0</v>
      </c>
      <c r="AS100" t="s">
        <v>3</v>
      </c>
      <c r="AT100">
        <v>48.11</v>
      </c>
      <c r="AU100" t="s">
        <v>3</v>
      </c>
      <c r="AV100">
        <v>0</v>
      </c>
      <c r="AW100">
        <v>2</v>
      </c>
      <c r="AX100">
        <v>38800027</v>
      </c>
      <c r="AY100">
        <v>1</v>
      </c>
      <c r="AZ100">
        <v>0</v>
      </c>
      <c r="BA100">
        <v>97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CX100">
        <f>Y100*Source!I91</f>
        <v>68.527884</v>
      </c>
      <c r="CY100">
        <f t="shared" si="9"/>
        <v>153.38999999999999</v>
      </c>
      <c r="CZ100">
        <f t="shared" si="10"/>
        <v>153.38999999999999</v>
      </c>
      <c r="DA100">
        <f t="shared" si="11"/>
        <v>1</v>
      </c>
      <c r="DB100">
        <f t="shared" si="7"/>
        <v>7379.59</v>
      </c>
      <c r="DC100">
        <f t="shared" si="8"/>
        <v>0</v>
      </c>
    </row>
    <row r="101" spans="1:107" x14ac:dyDescent="0.2">
      <c r="A101">
        <f>ROW(Source!A91)</f>
        <v>91</v>
      </c>
      <c r="B101">
        <v>38799519</v>
      </c>
      <c r="C101">
        <v>38799883</v>
      </c>
      <c r="D101">
        <v>38469190</v>
      </c>
      <c r="E101">
        <v>1</v>
      </c>
      <c r="F101">
        <v>1</v>
      </c>
      <c r="G101">
        <v>27</v>
      </c>
      <c r="H101">
        <v>3</v>
      </c>
      <c r="I101" t="s">
        <v>563</v>
      </c>
      <c r="J101" t="s">
        <v>564</v>
      </c>
      <c r="K101" t="s">
        <v>565</v>
      </c>
      <c r="L101">
        <v>1355</v>
      </c>
      <c r="N101">
        <v>1010</v>
      </c>
      <c r="O101" t="s">
        <v>556</v>
      </c>
      <c r="P101" t="s">
        <v>556</v>
      </c>
      <c r="Q101">
        <v>100</v>
      </c>
      <c r="W101">
        <v>0</v>
      </c>
      <c r="X101">
        <v>1745780889</v>
      </c>
      <c r="Y101">
        <v>5.46</v>
      </c>
      <c r="AA101">
        <v>241.19</v>
      </c>
      <c r="AB101">
        <v>0</v>
      </c>
      <c r="AC101">
        <v>0</v>
      </c>
      <c r="AD101">
        <v>0</v>
      </c>
      <c r="AE101">
        <v>241.19</v>
      </c>
      <c r="AF101">
        <v>0</v>
      </c>
      <c r="AG101">
        <v>0</v>
      </c>
      <c r="AH101">
        <v>0</v>
      </c>
      <c r="AI101">
        <v>1</v>
      </c>
      <c r="AJ101">
        <v>1</v>
      </c>
      <c r="AK101">
        <v>1</v>
      </c>
      <c r="AL101">
        <v>1</v>
      </c>
      <c r="AN101">
        <v>0</v>
      </c>
      <c r="AO101">
        <v>1</v>
      </c>
      <c r="AP101">
        <v>0</v>
      </c>
      <c r="AQ101">
        <v>0</v>
      </c>
      <c r="AR101">
        <v>0</v>
      </c>
      <c r="AS101" t="s">
        <v>3</v>
      </c>
      <c r="AT101">
        <v>5.46</v>
      </c>
      <c r="AU101" t="s">
        <v>3</v>
      </c>
      <c r="AV101">
        <v>0</v>
      </c>
      <c r="AW101">
        <v>2</v>
      </c>
      <c r="AX101">
        <v>38800028</v>
      </c>
      <c r="AY101">
        <v>1</v>
      </c>
      <c r="AZ101">
        <v>0</v>
      </c>
      <c r="BA101">
        <v>98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CX101">
        <f>Y101*Source!I91</f>
        <v>7.7772240000000004</v>
      </c>
      <c r="CY101">
        <f t="shared" si="9"/>
        <v>241.19</v>
      </c>
      <c r="CZ101">
        <f t="shared" si="10"/>
        <v>241.19</v>
      </c>
      <c r="DA101">
        <f t="shared" si="11"/>
        <v>1</v>
      </c>
      <c r="DB101">
        <f t="shared" si="7"/>
        <v>1316.9</v>
      </c>
      <c r="DC101">
        <f t="shared" si="8"/>
        <v>0</v>
      </c>
    </row>
    <row r="102" spans="1:107" x14ac:dyDescent="0.2">
      <c r="A102">
        <f>ROW(Source!A91)</f>
        <v>91</v>
      </c>
      <c r="B102">
        <v>38799519</v>
      </c>
      <c r="C102">
        <v>38799883</v>
      </c>
      <c r="D102">
        <v>38469837</v>
      </c>
      <c r="E102">
        <v>1</v>
      </c>
      <c r="F102">
        <v>1</v>
      </c>
      <c r="G102">
        <v>27</v>
      </c>
      <c r="H102">
        <v>3</v>
      </c>
      <c r="I102" t="s">
        <v>566</v>
      </c>
      <c r="J102" t="s">
        <v>567</v>
      </c>
      <c r="K102" t="s">
        <v>568</v>
      </c>
      <c r="L102">
        <v>1301</v>
      </c>
      <c r="N102">
        <v>1003</v>
      </c>
      <c r="O102" t="s">
        <v>121</v>
      </c>
      <c r="P102" t="s">
        <v>121</v>
      </c>
      <c r="Q102">
        <v>1</v>
      </c>
      <c r="W102">
        <v>0</v>
      </c>
      <c r="X102">
        <v>-602633205</v>
      </c>
      <c r="Y102">
        <v>48.11</v>
      </c>
      <c r="AA102">
        <v>69.680000000000007</v>
      </c>
      <c r="AB102">
        <v>0</v>
      </c>
      <c r="AC102">
        <v>0</v>
      </c>
      <c r="AD102">
        <v>0</v>
      </c>
      <c r="AE102">
        <v>69.680000000000007</v>
      </c>
      <c r="AF102">
        <v>0</v>
      </c>
      <c r="AG102">
        <v>0</v>
      </c>
      <c r="AH102">
        <v>0</v>
      </c>
      <c r="AI102">
        <v>1</v>
      </c>
      <c r="AJ102">
        <v>1</v>
      </c>
      <c r="AK102">
        <v>1</v>
      </c>
      <c r="AL102">
        <v>1</v>
      </c>
      <c r="AN102">
        <v>0</v>
      </c>
      <c r="AO102">
        <v>1</v>
      </c>
      <c r="AP102">
        <v>0</v>
      </c>
      <c r="AQ102">
        <v>0</v>
      </c>
      <c r="AR102">
        <v>0</v>
      </c>
      <c r="AS102" t="s">
        <v>3</v>
      </c>
      <c r="AT102">
        <v>48.11</v>
      </c>
      <c r="AU102" t="s">
        <v>3</v>
      </c>
      <c r="AV102">
        <v>0</v>
      </c>
      <c r="AW102">
        <v>2</v>
      </c>
      <c r="AX102">
        <v>38800029</v>
      </c>
      <c r="AY102">
        <v>1</v>
      </c>
      <c r="AZ102">
        <v>0</v>
      </c>
      <c r="BA102">
        <v>99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CX102">
        <f>Y102*Source!I91</f>
        <v>68.527884</v>
      </c>
      <c r="CY102">
        <f t="shared" si="9"/>
        <v>69.680000000000007</v>
      </c>
      <c r="CZ102">
        <f t="shared" si="10"/>
        <v>69.680000000000007</v>
      </c>
      <c r="DA102">
        <f t="shared" si="11"/>
        <v>1</v>
      </c>
      <c r="DB102">
        <f t="shared" si="7"/>
        <v>3352.3</v>
      </c>
      <c r="DC102">
        <f t="shared" si="8"/>
        <v>0</v>
      </c>
    </row>
    <row r="103" spans="1:107" x14ac:dyDescent="0.2">
      <c r="A103">
        <f>ROW(Source!A91)</f>
        <v>91</v>
      </c>
      <c r="B103">
        <v>38799519</v>
      </c>
      <c r="C103">
        <v>38799883</v>
      </c>
      <c r="D103">
        <v>38469838</v>
      </c>
      <c r="E103">
        <v>1</v>
      </c>
      <c r="F103">
        <v>1</v>
      </c>
      <c r="G103">
        <v>27</v>
      </c>
      <c r="H103">
        <v>3</v>
      </c>
      <c r="I103" t="s">
        <v>569</v>
      </c>
      <c r="J103" t="s">
        <v>570</v>
      </c>
      <c r="K103" t="s">
        <v>571</v>
      </c>
      <c r="L103">
        <v>1301</v>
      </c>
      <c r="N103">
        <v>1003</v>
      </c>
      <c r="O103" t="s">
        <v>121</v>
      </c>
      <c r="P103" t="s">
        <v>121</v>
      </c>
      <c r="Q103">
        <v>1</v>
      </c>
      <c r="W103">
        <v>0</v>
      </c>
      <c r="X103">
        <v>-1018017737</v>
      </c>
      <c r="Y103">
        <v>48.11</v>
      </c>
      <c r="AA103">
        <v>149.85</v>
      </c>
      <c r="AB103">
        <v>0</v>
      </c>
      <c r="AC103">
        <v>0</v>
      </c>
      <c r="AD103">
        <v>0</v>
      </c>
      <c r="AE103">
        <v>149.85</v>
      </c>
      <c r="AF103">
        <v>0</v>
      </c>
      <c r="AG103">
        <v>0</v>
      </c>
      <c r="AH103">
        <v>0</v>
      </c>
      <c r="AI103">
        <v>1</v>
      </c>
      <c r="AJ103">
        <v>1</v>
      </c>
      <c r="AK103">
        <v>1</v>
      </c>
      <c r="AL103">
        <v>1</v>
      </c>
      <c r="AN103">
        <v>0</v>
      </c>
      <c r="AO103">
        <v>1</v>
      </c>
      <c r="AP103">
        <v>0</v>
      </c>
      <c r="AQ103">
        <v>0</v>
      </c>
      <c r="AR103">
        <v>0</v>
      </c>
      <c r="AS103" t="s">
        <v>3</v>
      </c>
      <c r="AT103">
        <v>48.11</v>
      </c>
      <c r="AU103" t="s">
        <v>3</v>
      </c>
      <c r="AV103">
        <v>0</v>
      </c>
      <c r="AW103">
        <v>2</v>
      </c>
      <c r="AX103">
        <v>38800030</v>
      </c>
      <c r="AY103">
        <v>1</v>
      </c>
      <c r="AZ103">
        <v>0</v>
      </c>
      <c r="BA103">
        <v>100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CX103">
        <f>Y103*Source!I91</f>
        <v>68.527884</v>
      </c>
      <c r="CY103">
        <f t="shared" si="9"/>
        <v>149.85</v>
      </c>
      <c r="CZ103">
        <f t="shared" si="10"/>
        <v>149.85</v>
      </c>
      <c r="DA103">
        <f t="shared" si="11"/>
        <v>1</v>
      </c>
      <c r="DB103">
        <f t="shared" si="7"/>
        <v>7209.28</v>
      </c>
      <c r="DC103">
        <f t="shared" si="8"/>
        <v>0</v>
      </c>
    </row>
    <row r="104" spans="1:107" x14ac:dyDescent="0.2">
      <c r="A104">
        <f>ROW(Source!A92)</f>
        <v>92</v>
      </c>
      <c r="B104">
        <v>38799519</v>
      </c>
      <c r="C104">
        <v>38799912</v>
      </c>
      <c r="D104">
        <v>38451941</v>
      </c>
      <c r="E104">
        <v>27</v>
      </c>
      <c r="F104">
        <v>1</v>
      </c>
      <c r="G104">
        <v>27</v>
      </c>
      <c r="H104">
        <v>1</v>
      </c>
      <c r="I104" t="s">
        <v>387</v>
      </c>
      <c r="J104" t="s">
        <v>3</v>
      </c>
      <c r="K104" t="s">
        <v>388</v>
      </c>
      <c r="L104">
        <v>1191</v>
      </c>
      <c r="N104">
        <v>1013</v>
      </c>
      <c r="O104" t="s">
        <v>389</v>
      </c>
      <c r="P104" t="s">
        <v>389</v>
      </c>
      <c r="Q104">
        <v>1</v>
      </c>
      <c r="W104">
        <v>0</v>
      </c>
      <c r="X104">
        <v>476480486</v>
      </c>
      <c r="Y104">
        <v>36.46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1</v>
      </c>
      <c r="AK104">
        <v>1</v>
      </c>
      <c r="AL104">
        <v>1</v>
      </c>
      <c r="AN104">
        <v>0</v>
      </c>
      <c r="AO104">
        <v>1</v>
      </c>
      <c r="AP104">
        <v>0</v>
      </c>
      <c r="AQ104">
        <v>0</v>
      </c>
      <c r="AR104">
        <v>0</v>
      </c>
      <c r="AS104" t="s">
        <v>3</v>
      </c>
      <c r="AT104">
        <v>36.46</v>
      </c>
      <c r="AU104" t="s">
        <v>3</v>
      </c>
      <c r="AV104">
        <v>1</v>
      </c>
      <c r="AW104">
        <v>2</v>
      </c>
      <c r="AX104">
        <v>38800031</v>
      </c>
      <c r="AY104">
        <v>1</v>
      </c>
      <c r="AZ104">
        <v>0</v>
      </c>
      <c r="BA104">
        <v>101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CX104">
        <f>Y104*Source!I92</f>
        <v>43.752000000000002</v>
      </c>
      <c r="CY104">
        <f>AD104</f>
        <v>0</v>
      </c>
      <c r="CZ104">
        <f>AH104</f>
        <v>0</v>
      </c>
      <c r="DA104">
        <f>AL104</f>
        <v>1</v>
      </c>
      <c r="DB104">
        <f t="shared" si="7"/>
        <v>0</v>
      </c>
      <c r="DC104">
        <f t="shared" si="8"/>
        <v>0</v>
      </c>
    </row>
    <row r="105" spans="1:107" x14ac:dyDescent="0.2">
      <c r="A105">
        <f>ROW(Source!A92)</f>
        <v>92</v>
      </c>
      <c r="B105">
        <v>38799519</v>
      </c>
      <c r="C105">
        <v>38799912</v>
      </c>
      <c r="D105">
        <v>38464670</v>
      </c>
      <c r="E105">
        <v>1</v>
      </c>
      <c r="F105">
        <v>1</v>
      </c>
      <c r="G105">
        <v>27</v>
      </c>
      <c r="H105">
        <v>2</v>
      </c>
      <c r="I105" t="s">
        <v>390</v>
      </c>
      <c r="J105" t="s">
        <v>391</v>
      </c>
      <c r="K105" t="s">
        <v>392</v>
      </c>
      <c r="L105">
        <v>1368</v>
      </c>
      <c r="N105">
        <v>1011</v>
      </c>
      <c r="O105" t="s">
        <v>393</v>
      </c>
      <c r="P105" t="s">
        <v>393</v>
      </c>
      <c r="Q105">
        <v>1</v>
      </c>
      <c r="W105">
        <v>0</v>
      </c>
      <c r="X105">
        <v>844705367</v>
      </c>
      <c r="Y105">
        <v>0.02</v>
      </c>
      <c r="AA105">
        <v>0</v>
      </c>
      <c r="AB105">
        <v>41.19</v>
      </c>
      <c r="AC105">
        <v>0.34</v>
      </c>
      <c r="AD105">
        <v>0</v>
      </c>
      <c r="AE105">
        <v>0</v>
      </c>
      <c r="AF105">
        <v>41.19</v>
      </c>
      <c r="AG105">
        <v>0.34</v>
      </c>
      <c r="AH105">
        <v>0</v>
      </c>
      <c r="AI105">
        <v>1</v>
      </c>
      <c r="AJ105">
        <v>1</v>
      </c>
      <c r="AK105">
        <v>1</v>
      </c>
      <c r="AL105">
        <v>1</v>
      </c>
      <c r="AN105">
        <v>0</v>
      </c>
      <c r="AO105">
        <v>1</v>
      </c>
      <c r="AP105">
        <v>0</v>
      </c>
      <c r="AQ105">
        <v>0</v>
      </c>
      <c r="AR105">
        <v>0</v>
      </c>
      <c r="AS105" t="s">
        <v>3</v>
      </c>
      <c r="AT105">
        <v>0.02</v>
      </c>
      <c r="AU105" t="s">
        <v>3</v>
      </c>
      <c r="AV105">
        <v>0</v>
      </c>
      <c r="AW105">
        <v>2</v>
      </c>
      <c r="AX105">
        <v>38800032</v>
      </c>
      <c r="AY105">
        <v>1</v>
      </c>
      <c r="AZ105">
        <v>0</v>
      </c>
      <c r="BA105">
        <v>102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CX105">
        <f>Y105*Source!I92</f>
        <v>2.4E-2</v>
      </c>
      <c r="CY105">
        <f>AB105</f>
        <v>41.19</v>
      </c>
      <c r="CZ105">
        <f>AF105</f>
        <v>41.19</v>
      </c>
      <c r="DA105">
        <f>AJ105</f>
        <v>1</v>
      </c>
      <c r="DB105">
        <f t="shared" ref="DB105:DB111" si="12">ROUND(ROUND(AT105*CZ105,2),6)</f>
        <v>0.82</v>
      </c>
      <c r="DC105">
        <f t="shared" ref="DC105:DC111" si="13">ROUND(ROUND(AT105*AG105,2),6)</f>
        <v>0.01</v>
      </c>
    </row>
    <row r="106" spans="1:107" x14ac:dyDescent="0.2">
      <c r="A106">
        <f>ROW(Source!A92)</f>
        <v>92</v>
      </c>
      <c r="B106">
        <v>38799519</v>
      </c>
      <c r="C106">
        <v>38799912</v>
      </c>
      <c r="D106">
        <v>38465076</v>
      </c>
      <c r="E106">
        <v>1</v>
      </c>
      <c r="F106">
        <v>1</v>
      </c>
      <c r="G106">
        <v>27</v>
      </c>
      <c r="H106">
        <v>2</v>
      </c>
      <c r="I106" t="s">
        <v>394</v>
      </c>
      <c r="J106" t="s">
        <v>395</v>
      </c>
      <c r="K106" t="s">
        <v>396</v>
      </c>
      <c r="L106">
        <v>1368</v>
      </c>
      <c r="N106">
        <v>1011</v>
      </c>
      <c r="O106" t="s">
        <v>393</v>
      </c>
      <c r="P106" t="s">
        <v>393</v>
      </c>
      <c r="Q106">
        <v>1</v>
      </c>
      <c r="W106">
        <v>0</v>
      </c>
      <c r="X106">
        <v>118009128</v>
      </c>
      <c r="Y106">
        <v>0.2</v>
      </c>
      <c r="AA106">
        <v>0</v>
      </c>
      <c r="AB106">
        <v>27.02</v>
      </c>
      <c r="AC106">
        <v>0.03</v>
      </c>
      <c r="AD106">
        <v>0</v>
      </c>
      <c r="AE106">
        <v>0</v>
      </c>
      <c r="AF106">
        <v>27.02</v>
      </c>
      <c r="AG106">
        <v>0.03</v>
      </c>
      <c r="AH106">
        <v>0</v>
      </c>
      <c r="AI106">
        <v>1</v>
      </c>
      <c r="AJ106">
        <v>1</v>
      </c>
      <c r="AK106">
        <v>1</v>
      </c>
      <c r="AL106">
        <v>1</v>
      </c>
      <c r="AN106">
        <v>0</v>
      </c>
      <c r="AO106">
        <v>1</v>
      </c>
      <c r="AP106">
        <v>0</v>
      </c>
      <c r="AQ106">
        <v>0</v>
      </c>
      <c r="AR106">
        <v>0</v>
      </c>
      <c r="AS106" t="s">
        <v>3</v>
      </c>
      <c r="AT106">
        <v>0.2</v>
      </c>
      <c r="AU106" t="s">
        <v>3</v>
      </c>
      <c r="AV106">
        <v>0</v>
      </c>
      <c r="AW106">
        <v>2</v>
      </c>
      <c r="AX106">
        <v>38800033</v>
      </c>
      <c r="AY106">
        <v>1</v>
      </c>
      <c r="AZ106">
        <v>0</v>
      </c>
      <c r="BA106">
        <v>103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CX106">
        <f>Y106*Source!I92</f>
        <v>0.24</v>
      </c>
      <c r="CY106">
        <f>AB106</f>
        <v>27.02</v>
      </c>
      <c r="CZ106">
        <f>AF106</f>
        <v>27.02</v>
      </c>
      <c r="DA106">
        <f>AJ106</f>
        <v>1</v>
      </c>
      <c r="DB106">
        <f t="shared" si="12"/>
        <v>5.4</v>
      </c>
      <c r="DC106">
        <f t="shared" si="13"/>
        <v>0.01</v>
      </c>
    </row>
    <row r="107" spans="1:107" x14ac:dyDescent="0.2">
      <c r="A107">
        <f>ROW(Source!A92)</f>
        <v>92</v>
      </c>
      <c r="B107">
        <v>38799519</v>
      </c>
      <c r="C107">
        <v>38799912</v>
      </c>
      <c r="D107">
        <v>38465038</v>
      </c>
      <c r="E107">
        <v>1</v>
      </c>
      <c r="F107">
        <v>1</v>
      </c>
      <c r="G107">
        <v>27</v>
      </c>
      <c r="H107">
        <v>2</v>
      </c>
      <c r="I107" t="s">
        <v>397</v>
      </c>
      <c r="J107" t="s">
        <v>398</v>
      </c>
      <c r="K107" t="s">
        <v>399</v>
      </c>
      <c r="L107">
        <v>1368</v>
      </c>
      <c r="N107">
        <v>1011</v>
      </c>
      <c r="O107" t="s">
        <v>393</v>
      </c>
      <c r="P107" t="s">
        <v>393</v>
      </c>
      <c r="Q107">
        <v>1</v>
      </c>
      <c r="W107">
        <v>0</v>
      </c>
      <c r="X107">
        <v>-2096205149</v>
      </c>
      <c r="Y107">
        <v>3.01</v>
      </c>
      <c r="AA107">
        <v>0</v>
      </c>
      <c r="AB107">
        <v>4.71</v>
      </c>
      <c r="AC107">
        <v>1.1200000000000001</v>
      </c>
      <c r="AD107">
        <v>0</v>
      </c>
      <c r="AE107">
        <v>0</v>
      </c>
      <c r="AF107">
        <v>4.71</v>
      </c>
      <c r="AG107">
        <v>1.1200000000000001</v>
      </c>
      <c r="AH107">
        <v>0</v>
      </c>
      <c r="AI107">
        <v>1</v>
      </c>
      <c r="AJ107">
        <v>1</v>
      </c>
      <c r="AK107">
        <v>1</v>
      </c>
      <c r="AL107">
        <v>1</v>
      </c>
      <c r="AN107">
        <v>0</v>
      </c>
      <c r="AO107">
        <v>1</v>
      </c>
      <c r="AP107">
        <v>0</v>
      </c>
      <c r="AQ107">
        <v>0</v>
      </c>
      <c r="AR107">
        <v>0</v>
      </c>
      <c r="AS107" t="s">
        <v>3</v>
      </c>
      <c r="AT107">
        <v>3.01</v>
      </c>
      <c r="AU107" t="s">
        <v>3</v>
      </c>
      <c r="AV107">
        <v>0</v>
      </c>
      <c r="AW107">
        <v>2</v>
      </c>
      <c r="AX107">
        <v>38800034</v>
      </c>
      <c r="AY107">
        <v>1</v>
      </c>
      <c r="AZ107">
        <v>0</v>
      </c>
      <c r="BA107">
        <v>104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CX107">
        <f>Y107*Source!I92</f>
        <v>3.6119999999999997</v>
      </c>
      <c r="CY107">
        <f>AB107</f>
        <v>4.71</v>
      </c>
      <c r="CZ107">
        <f>AF107</f>
        <v>4.71</v>
      </c>
      <c r="DA107">
        <f>AJ107</f>
        <v>1</v>
      </c>
      <c r="DB107">
        <f t="shared" si="12"/>
        <v>14.18</v>
      </c>
      <c r="DC107">
        <f t="shared" si="13"/>
        <v>3.37</v>
      </c>
    </row>
    <row r="108" spans="1:107" x14ac:dyDescent="0.2">
      <c r="A108">
        <f>ROW(Source!A92)</f>
        <v>92</v>
      </c>
      <c r="B108">
        <v>38799519</v>
      </c>
      <c r="C108">
        <v>38799912</v>
      </c>
      <c r="D108">
        <v>38464353</v>
      </c>
      <c r="E108">
        <v>1</v>
      </c>
      <c r="F108">
        <v>1</v>
      </c>
      <c r="G108">
        <v>27</v>
      </c>
      <c r="H108">
        <v>2</v>
      </c>
      <c r="I108" t="s">
        <v>400</v>
      </c>
      <c r="J108" t="s">
        <v>401</v>
      </c>
      <c r="K108" t="s">
        <v>402</v>
      </c>
      <c r="L108">
        <v>1368</v>
      </c>
      <c r="N108">
        <v>1011</v>
      </c>
      <c r="O108" t="s">
        <v>393</v>
      </c>
      <c r="P108" t="s">
        <v>393</v>
      </c>
      <c r="Q108">
        <v>1</v>
      </c>
      <c r="W108">
        <v>0</v>
      </c>
      <c r="X108">
        <v>-699398312</v>
      </c>
      <c r="Y108">
        <v>1.1000000000000001</v>
      </c>
      <c r="AA108">
        <v>0</v>
      </c>
      <c r="AB108">
        <v>10.39</v>
      </c>
      <c r="AC108">
        <v>0.03</v>
      </c>
      <c r="AD108">
        <v>0</v>
      </c>
      <c r="AE108">
        <v>0</v>
      </c>
      <c r="AF108">
        <v>10.39</v>
      </c>
      <c r="AG108">
        <v>0.03</v>
      </c>
      <c r="AH108">
        <v>0</v>
      </c>
      <c r="AI108">
        <v>1</v>
      </c>
      <c r="AJ108">
        <v>1</v>
      </c>
      <c r="AK108">
        <v>1</v>
      </c>
      <c r="AL108">
        <v>1</v>
      </c>
      <c r="AN108">
        <v>0</v>
      </c>
      <c r="AO108">
        <v>1</v>
      </c>
      <c r="AP108">
        <v>0</v>
      </c>
      <c r="AQ108">
        <v>0</v>
      </c>
      <c r="AR108">
        <v>0</v>
      </c>
      <c r="AS108" t="s">
        <v>3</v>
      </c>
      <c r="AT108">
        <v>1.1000000000000001</v>
      </c>
      <c r="AU108" t="s">
        <v>3</v>
      </c>
      <c r="AV108">
        <v>0</v>
      </c>
      <c r="AW108">
        <v>2</v>
      </c>
      <c r="AX108">
        <v>38800035</v>
      </c>
      <c r="AY108">
        <v>1</v>
      </c>
      <c r="AZ108">
        <v>0</v>
      </c>
      <c r="BA108">
        <v>105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CX108">
        <f>Y108*Source!I92</f>
        <v>1.32</v>
      </c>
      <c r="CY108">
        <f>AB108</f>
        <v>10.39</v>
      </c>
      <c r="CZ108">
        <f>AF108</f>
        <v>10.39</v>
      </c>
      <c r="DA108">
        <f>AJ108</f>
        <v>1</v>
      </c>
      <c r="DB108">
        <f t="shared" si="12"/>
        <v>11.43</v>
      </c>
      <c r="DC108">
        <f t="shared" si="13"/>
        <v>0.03</v>
      </c>
    </row>
    <row r="109" spans="1:107" x14ac:dyDescent="0.2">
      <c r="A109">
        <f>ROW(Source!A92)</f>
        <v>92</v>
      </c>
      <c r="B109">
        <v>38799519</v>
      </c>
      <c r="C109">
        <v>38799912</v>
      </c>
      <c r="D109">
        <v>38466121</v>
      </c>
      <c r="E109">
        <v>1</v>
      </c>
      <c r="F109">
        <v>1</v>
      </c>
      <c r="G109">
        <v>27</v>
      </c>
      <c r="H109">
        <v>3</v>
      </c>
      <c r="I109" t="s">
        <v>403</v>
      </c>
      <c r="J109" t="s">
        <v>404</v>
      </c>
      <c r="K109" t="s">
        <v>405</v>
      </c>
      <c r="L109">
        <v>1327</v>
      </c>
      <c r="N109">
        <v>1005</v>
      </c>
      <c r="O109" t="s">
        <v>289</v>
      </c>
      <c r="P109" t="s">
        <v>289</v>
      </c>
      <c r="Q109">
        <v>1</v>
      </c>
      <c r="W109">
        <v>0</v>
      </c>
      <c r="X109">
        <v>-1924715319</v>
      </c>
      <c r="Y109">
        <v>100</v>
      </c>
      <c r="AA109">
        <v>397.91</v>
      </c>
      <c r="AB109">
        <v>0</v>
      </c>
      <c r="AC109">
        <v>0</v>
      </c>
      <c r="AD109">
        <v>0</v>
      </c>
      <c r="AE109">
        <v>397.91</v>
      </c>
      <c r="AF109">
        <v>0</v>
      </c>
      <c r="AG109">
        <v>0</v>
      </c>
      <c r="AH109">
        <v>0</v>
      </c>
      <c r="AI109">
        <v>1</v>
      </c>
      <c r="AJ109">
        <v>1</v>
      </c>
      <c r="AK109">
        <v>1</v>
      </c>
      <c r="AL109">
        <v>1</v>
      </c>
      <c r="AN109">
        <v>0</v>
      </c>
      <c r="AO109">
        <v>1</v>
      </c>
      <c r="AP109">
        <v>0</v>
      </c>
      <c r="AQ109">
        <v>0</v>
      </c>
      <c r="AR109">
        <v>0</v>
      </c>
      <c r="AS109" t="s">
        <v>3</v>
      </c>
      <c r="AT109">
        <v>100</v>
      </c>
      <c r="AU109" t="s">
        <v>3</v>
      </c>
      <c r="AV109">
        <v>0</v>
      </c>
      <c r="AW109">
        <v>2</v>
      </c>
      <c r="AX109">
        <v>38800036</v>
      </c>
      <c r="AY109">
        <v>1</v>
      </c>
      <c r="AZ109">
        <v>0</v>
      </c>
      <c r="BA109">
        <v>106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CX109">
        <f>Y109*Source!I92</f>
        <v>120</v>
      </c>
      <c r="CY109">
        <f>AA109</f>
        <v>397.91</v>
      </c>
      <c r="CZ109">
        <f>AE109</f>
        <v>397.91</v>
      </c>
      <c r="DA109">
        <f>AI109</f>
        <v>1</v>
      </c>
      <c r="DB109">
        <f t="shared" si="12"/>
        <v>39791</v>
      </c>
      <c r="DC109">
        <f t="shared" si="13"/>
        <v>0</v>
      </c>
    </row>
    <row r="110" spans="1:107" x14ac:dyDescent="0.2">
      <c r="A110">
        <f>ROW(Source!A92)</f>
        <v>92</v>
      </c>
      <c r="B110">
        <v>38799519</v>
      </c>
      <c r="C110">
        <v>38799912</v>
      </c>
      <c r="D110">
        <v>38466153</v>
      </c>
      <c r="E110">
        <v>1</v>
      </c>
      <c r="F110">
        <v>1</v>
      </c>
      <c r="G110">
        <v>27</v>
      </c>
      <c r="H110">
        <v>3</v>
      </c>
      <c r="I110" t="s">
        <v>406</v>
      </c>
      <c r="J110" t="s">
        <v>407</v>
      </c>
      <c r="K110" t="s">
        <v>408</v>
      </c>
      <c r="L110">
        <v>1348</v>
      </c>
      <c r="N110">
        <v>1009</v>
      </c>
      <c r="O110" t="s">
        <v>155</v>
      </c>
      <c r="P110" t="s">
        <v>155</v>
      </c>
      <c r="Q110">
        <v>1000</v>
      </c>
      <c r="W110">
        <v>0</v>
      </c>
      <c r="X110">
        <v>-1675384158</v>
      </c>
      <c r="Y110">
        <v>2E-3</v>
      </c>
      <c r="AA110">
        <v>153777.19</v>
      </c>
      <c r="AB110">
        <v>0</v>
      </c>
      <c r="AC110">
        <v>0</v>
      </c>
      <c r="AD110">
        <v>0</v>
      </c>
      <c r="AE110">
        <v>153777.19</v>
      </c>
      <c r="AF110">
        <v>0</v>
      </c>
      <c r="AG110">
        <v>0</v>
      </c>
      <c r="AH110">
        <v>0</v>
      </c>
      <c r="AI110">
        <v>1</v>
      </c>
      <c r="AJ110">
        <v>1</v>
      </c>
      <c r="AK110">
        <v>1</v>
      </c>
      <c r="AL110">
        <v>1</v>
      </c>
      <c r="AN110">
        <v>0</v>
      </c>
      <c r="AO110">
        <v>1</v>
      </c>
      <c r="AP110">
        <v>0</v>
      </c>
      <c r="AQ110">
        <v>0</v>
      </c>
      <c r="AR110">
        <v>0</v>
      </c>
      <c r="AS110" t="s">
        <v>3</v>
      </c>
      <c r="AT110">
        <v>2E-3</v>
      </c>
      <c r="AU110" t="s">
        <v>3</v>
      </c>
      <c r="AV110">
        <v>0</v>
      </c>
      <c r="AW110">
        <v>2</v>
      </c>
      <c r="AX110">
        <v>38800037</v>
      </c>
      <c r="AY110">
        <v>1</v>
      </c>
      <c r="AZ110">
        <v>0</v>
      </c>
      <c r="BA110">
        <v>107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CX110">
        <f>Y110*Source!I92</f>
        <v>2.3999999999999998E-3</v>
      </c>
      <c r="CY110">
        <f>AA110</f>
        <v>153777.19</v>
      </c>
      <c r="CZ110">
        <f>AE110</f>
        <v>153777.19</v>
      </c>
      <c r="DA110">
        <f>AI110</f>
        <v>1</v>
      </c>
      <c r="DB110">
        <f t="shared" si="12"/>
        <v>307.55</v>
      </c>
      <c r="DC110">
        <f t="shared" si="13"/>
        <v>0</v>
      </c>
    </row>
    <row r="111" spans="1:107" x14ac:dyDescent="0.2">
      <c r="A111">
        <f>ROW(Source!A92)</f>
        <v>92</v>
      </c>
      <c r="B111">
        <v>38799519</v>
      </c>
      <c r="C111">
        <v>38799912</v>
      </c>
      <c r="D111">
        <v>38469131</v>
      </c>
      <c r="E111">
        <v>1</v>
      </c>
      <c r="F111">
        <v>1</v>
      </c>
      <c r="G111">
        <v>27</v>
      </c>
      <c r="H111">
        <v>3</v>
      </c>
      <c r="I111" t="s">
        <v>409</v>
      </c>
      <c r="J111" t="s">
        <v>410</v>
      </c>
      <c r="K111" t="s">
        <v>411</v>
      </c>
      <c r="L111">
        <v>1348</v>
      </c>
      <c r="N111">
        <v>1009</v>
      </c>
      <c r="O111" t="s">
        <v>155</v>
      </c>
      <c r="P111" t="s">
        <v>155</v>
      </c>
      <c r="Q111">
        <v>1000</v>
      </c>
      <c r="W111">
        <v>0</v>
      </c>
      <c r="X111">
        <v>-368355619</v>
      </c>
      <c r="Y111">
        <v>1.0999999999999999E-2</v>
      </c>
      <c r="AA111">
        <v>75026.559999999998</v>
      </c>
      <c r="AB111">
        <v>0</v>
      </c>
      <c r="AC111">
        <v>0</v>
      </c>
      <c r="AD111">
        <v>0</v>
      </c>
      <c r="AE111">
        <v>75026.559999999998</v>
      </c>
      <c r="AF111">
        <v>0</v>
      </c>
      <c r="AG111">
        <v>0</v>
      </c>
      <c r="AH111">
        <v>0</v>
      </c>
      <c r="AI111">
        <v>1</v>
      </c>
      <c r="AJ111">
        <v>1</v>
      </c>
      <c r="AK111">
        <v>1</v>
      </c>
      <c r="AL111">
        <v>1</v>
      </c>
      <c r="AN111">
        <v>0</v>
      </c>
      <c r="AO111">
        <v>1</v>
      </c>
      <c r="AP111">
        <v>0</v>
      </c>
      <c r="AQ111">
        <v>0</v>
      </c>
      <c r="AR111">
        <v>0</v>
      </c>
      <c r="AS111" t="s">
        <v>3</v>
      </c>
      <c r="AT111">
        <v>1.0999999999999999E-2</v>
      </c>
      <c r="AU111" t="s">
        <v>3</v>
      </c>
      <c r="AV111">
        <v>0</v>
      </c>
      <c r="AW111">
        <v>2</v>
      </c>
      <c r="AX111">
        <v>38800038</v>
      </c>
      <c r="AY111">
        <v>1</v>
      </c>
      <c r="AZ111">
        <v>0</v>
      </c>
      <c r="BA111">
        <v>108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CX111">
        <f>Y111*Source!I92</f>
        <v>1.3199999999999998E-2</v>
      </c>
      <c r="CY111">
        <f>AA111</f>
        <v>75026.559999999998</v>
      </c>
      <c r="CZ111">
        <f>AE111</f>
        <v>75026.559999999998</v>
      </c>
      <c r="DA111">
        <f>AI111</f>
        <v>1</v>
      </c>
      <c r="DB111">
        <f t="shared" si="12"/>
        <v>825.29</v>
      </c>
      <c r="DC111">
        <f t="shared" si="13"/>
        <v>0</v>
      </c>
    </row>
    <row r="112" spans="1:107" x14ac:dyDescent="0.2">
      <c r="A112">
        <f>ROW(Source!A162)</f>
        <v>162</v>
      </c>
      <c r="B112">
        <v>38799519</v>
      </c>
      <c r="C112">
        <v>38800459</v>
      </c>
      <c r="D112">
        <v>38451941</v>
      </c>
      <c r="E112">
        <v>27</v>
      </c>
      <c r="F112">
        <v>1</v>
      </c>
      <c r="G112">
        <v>27</v>
      </c>
      <c r="H112">
        <v>1</v>
      </c>
      <c r="I112" t="s">
        <v>387</v>
      </c>
      <c r="J112" t="s">
        <v>3</v>
      </c>
      <c r="K112" t="s">
        <v>388</v>
      </c>
      <c r="L112">
        <v>1191</v>
      </c>
      <c r="N112">
        <v>1013</v>
      </c>
      <c r="O112" t="s">
        <v>389</v>
      </c>
      <c r="P112" t="s">
        <v>389</v>
      </c>
      <c r="Q112">
        <v>1</v>
      </c>
      <c r="W112">
        <v>0</v>
      </c>
      <c r="X112">
        <v>476480486</v>
      </c>
      <c r="Y112">
        <v>17.48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</v>
      </c>
      <c r="AJ112">
        <v>1</v>
      </c>
      <c r="AK112">
        <v>1</v>
      </c>
      <c r="AL112">
        <v>1</v>
      </c>
      <c r="AN112">
        <v>0</v>
      </c>
      <c r="AO112">
        <v>1</v>
      </c>
      <c r="AP112">
        <v>1</v>
      </c>
      <c r="AQ112">
        <v>0</v>
      </c>
      <c r="AR112">
        <v>0</v>
      </c>
      <c r="AS112" t="s">
        <v>3</v>
      </c>
      <c r="AT112">
        <v>87.4</v>
      </c>
      <c r="AU112" t="s">
        <v>22</v>
      </c>
      <c r="AV112">
        <v>1</v>
      </c>
      <c r="AW112">
        <v>2</v>
      </c>
      <c r="AX112">
        <v>38800460</v>
      </c>
      <c r="AY112">
        <v>1</v>
      </c>
      <c r="AZ112">
        <v>0</v>
      </c>
      <c r="BA112">
        <v>109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CX112">
        <f>Y112*Source!I162</f>
        <v>38.456000000000003</v>
      </c>
      <c r="CY112">
        <f>AD112</f>
        <v>0</v>
      </c>
      <c r="CZ112">
        <f>AH112</f>
        <v>0</v>
      </c>
      <c r="DA112">
        <f>AL112</f>
        <v>1</v>
      </c>
      <c r="DB112">
        <f>ROUND((ROUND(AT112*CZ112,2)*0.2),6)</f>
        <v>0</v>
      </c>
      <c r="DC112">
        <f>ROUND((ROUND(AT112*AG112,2)*0.2),6)</f>
        <v>0</v>
      </c>
    </row>
    <row r="113" spans="1:107" x14ac:dyDescent="0.2">
      <c r="A113">
        <f>ROW(Source!A162)</f>
        <v>162</v>
      </c>
      <c r="B113">
        <v>38799519</v>
      </c>
      <c r="C113">
        <v>38800459</v>
      </c>
      <c r="D113">
        <v>38464342</v>
      </c>
      <c r="E113">
        <v>1</v>
      </c>
      <c r="F113">
        <v>1</v>
      </c>
      <c r="G113">
        <v>27</v>
      </c>
      <c r="H113">
        <v>2</v>
      </c>
      <c r="I113" t="s">
        <v>520</v>
      </c>
      <c r="J113" t="s">
        <v>521</v>
      </c>
      <c r="K113" t="s">
        <v>522</v>
      </c>
      <c r="L113">
        <v>1368</v>
      </c>
      <c r="N113">
        <v>1011</v>
      </c>
      <c r="O113" t="s">
        <v>393</v>
      </c>
      <c r="P113" t="s">
        <v>393</v>
      </c>
      <c r="Q113">
        <v>1</v>
      </c>
      <c r="W113">
        <v>0</v>
      </c>
      <c r="X113">
        <v>-204835879</v>
      </c>
      <c r="Y113">
        <v>3.8000000000000003</v>
      </c>
      <c r="AA113">
        <v>0</v>
      </c>
      <c r="AB113">
        <v>31</v>
      </c>
      <c r="AC113">
        <v>1.35</v>
      </c>
      <c r="AD113">
        <v>0</v>
      </c>
      <c r="AE113">
        <v>0</v>
      </c>
      <c r="AF113">
        <v>31</v>
      </c>
      <c r="AG113">
        <v>1.35</v>
      </c>
      <c r="AH113">
        <v>0</v>
      </c>
      <c r="AI113">
        <v>1</v>
      </c>
      <c r="AJ113">
        <v>1</v>
      </c>
      <c r="AK113">
        <v>1</v>
      </c>
      <c r="AL113">
        <v>1</v>
      </c>
      <c r="AN113">
        <v>0</v>
      </c>
      <c r="AO113">
        <v>1</v>
      </c>
      <c r="AP113">
        <v>1</v>
      </c>
      <c r="AQ113">
        <v>0</v>
      </c>
      <c r="AR113">
        <v>0</v>
      </c>
      <c r="AS113" t="s">
        <v>3</v>
      </c>
      <c r="AT113">
        <v>19</v>
      </c>
      <c r="AU113" t="s">
        <v>22</v>
      </c>
      <c r="AV113">
        <v>0</v>
      </c>
      <c r="AW113">
        <v>2</v>
      </c>
      <c r="AX113">
        <v>38800461</v>
      </c>
      <c r="AY113">
        <v>1</v>
      </c>
      <c r="AZ113">
        <v>0</v>
      </c>
      <c r="BA113">
        <v>110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CX113">
        <f>Y113*Source!I162</f>
        <v>8.3600000000000012</v>
      </c>
      <c r="CY113">
        <f>AB113</f>
        <v>31</v>
      </c>
      <c r="CZ113">
        <f>AF113</f>
        <v>31</v>
      </c>
      <c r="DA113">
        <f>AJ113</f>
        <v>1</v>
      </c>
      <c r="DB113">
        <f>ROUND((ROUND(AT113*CZ113,2)*0.2),6)</f>
        <v>117.8</v>
      </c>
      <c r="DC113">
        <f>ROUND((ROUND(AT113*AG113,2)*0.2),6)</f>
        <v>5.13</v>
      </c>
    </row>
    <row r="114" spans="1:107" x14ac:dyDescent="0.2">
      <c r="A114">
        <f>ROW(Source!A162)</f>
        <v>162</v>
      </c>
      <c r="B114">
        <v>38799519</v>
      </c>
      <c r="C114">
        <v>38800459</v>
      </c>
      <c r="D114">
        <v>38466161</v>
      </c>
      <c r="E114">
        <v>1</v>
      </c>
      <c r="F114">
        <v>1</v>
      </c>
      <c r="G114">
        <v>27</v>
      </c>
      <c r="H114">
        <v>3</v>
      </c>
      <c r="I114" t="s">
        <v>523</v>
      </c>
      <c r="J114" t="s">
        <v>524</v>
      </c>
      <c r="K114" t="s">
        <v>525</v>
      </c>
      <c r="L114">
        <v>1348</v>
      </c>
      <c r="N114">
        <v>1009</v>
      </c>
      <c r="O114" t="s">
        <v>155</v>
      </c>
      <c r="P114" t="s">
        <v>155</v>
      </c>
      <c r="Q114">
        <v>1000</v>
      </c>
      <c r="W114">
        <v>0</v>
      </c>
      <c r="X114">
        <v>-1356276541</v>
      </c>
      <c r="Y114">
        <v>0</v>
      </c>
      <c r="AA114">
        <v>105084.63</v>
      </c>
      <c r="AB114">
        <v>0</v>
      </c>
      <c r="AC114">
        <v>0</v>
      </c>
      <c r="AD114">
        <v>0</v>
      </c>
      <c r="AE114">
        <v>105084.63</v>
      </c>
      <c r="AF114">
        <v>0</v>
      </c>
      <c r="AG114">
        <v>0</v>
      </c>
      <c r="AH114">
        <v>0</v>
      </c>
      <c r="AI114">
        <v>1</v>
      </c>
      <c r="AJ114">
        <v>1</v>
      </c>
      <c r="AK114">
        <v>1</v>
      </c>
      <c r="AL114">
        <v>1</v>
      </c>
      <c r="AN114">
        <v>0</v>
      </c>
      <c r="AO114">
        <v>1</v>
      </c>
      <c r="AP114">
        <v>1</v>
      </c>
      <c r="AQ114">
        <v>0</v>
      </c>
      <c r="AR114">
        <v>0</v>
      </c>
      <c r="AS114" t="s">
        <v>3</v>
      </c>
      <c r="AT114">
        <v>3.3E-3</v>
      </c>
      <c r="AU114" t="s">
        <v>21</v>
      </c>
      <c r="AV114">
        <v>0</v>
      </c>
      <c r="AW114">
        <v>2</v>
      </c>
      <c r="AX114">
        <v>38800462</v>
      </c>
      <c r="AY114">
        <v>1</v>
      </c>
      <c r="AZ114">
        <v>0</v>
      </c>
      <c r="BA114">
        <v>111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CX114">
        <f>Y114*Source!I162</f>
        <v>0</v>
      </c>
      <c r="CY114">
        <f>AA114</f>
        <v>105084.63</v>
      </c>
      <c r="CZ114">
        <f>AE114</f>
        <v>105084.63</v>
      </c>
      <c r="DA114">
        <f>AI114</f>
        <v>1</v>
      </c>
      <c r="DB114">
        <f>ROUND((ROUND(AT114*CZ114,2)*0),6)</f>
        <v>0</v>
      </c>
      <c r="DC114">
        <f>ROUND((ROUND(AT114*AG114,2)*0),6)</f>
        <v>0</v>
      </c>
    </row>
    <row r="115" spans="1:107" x14ac:dyDescent="0.2">
      <c r="A115">
        <f>ROW(Source!A162)</f>
        <v>162</v>
      </c>
      <c r="B115">
        <v>38799519</v>
      </c>
      <c r="C115">
        <v>38800459</v>
      </c>
      <c r="D115">
        <v>38467018</v>
      </c>
      <c r="E115">
        <v>1</v>
      </c>
      <c r="F115">
        <v>1</v>
      </c>
      <c r="G115">
        <v>27</v>
      </c>
      <c r="H115">
        <v>3</v>
      </c>
      <c r="I115" t="s">
        <v>496</v>
      </c>
      <c r="J115" t="s">
        <v>497</v>
      </c>
      <c r="K115" t="s">
        <v>498</v>
      </c>
      <c r="L115">
        <v>1348</v>
      </c>
      <c r="N115">
        <v>1009</v>
      </c>
      <c r="O115" t="s">
        <v>155</v>
      </c>
      <c r="P115" t="s">
        <v>155</v>
      </c>
      <c r="Q115">
        <v>1000</v>
      </c>
      <c r="W115">
        <v>0</v>
      </c>
      <c r="X115">
        <v>-941081254</v>
      </c>
      <c r="Y115">
        <v>0</v>
      </c>
      <c r="AA115">
        <v>110781.14</v>
      </c>
      <c r="AB115">
        <v>0</v>
      </c>
      <c r="AC115">
        <v>0</v>
      </c>
      <c r="AD115">
        <v>0</v>
      </c>
      <c r="AE115">
        <v>110781.14</v>
      </c>
      <c r="AF115">
        <v>0</v>
      </c>
      <c r="AG115">
        <v>0</v>
      </c>
      <c r="AH115">
        <v>0</v>
      </c>
      <c r="AI115">
        <v>1</v>
      </c>
      <c r="AJ115">
        <v>1</v>
      </c>
      <c r="AK115">
        <v>1</v>
      </c>
      <c r="AL115">
        <v>1</v>
      </c>
      <c r="AN115">
        <v>0</v>
      </c>
      <c r="AO115">
        <v>1</v>
      </c>
      <c r="AP115">
        <v>1</v>
      </c>
      <c r="AQ115">
        <v>0</v>
      </c>
      <c r="AR115">
        <v>0</v>
      </c>
      <c r="AS115" t="s">
        <v>3</v>
      </c>
      <c r="AT115">
        <v>1.4E-3</v>
      </c>
      <c r="AU115" t="s">
        <v>21</v>
      </c>
      <c r="AV115">
        <v>0</v>
      </c>
      <c r="AW115">
        <v>2</v>
      </c>
      <c r="AX115">
        <v>38800463</v>
      </c>
      <c r="AY115">
        <v>1</v>
      </c>
      <c r="AZ115">
        <v>0</v>
      </c>
      <c r="BA115">
        <v>112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CX115">
        <f>Y115*Source!I162</f>
        <v>0</v>
      </c>
      <c r="CY115">
        <f>AA115</f>
        <v>110781.14</v>
      </c>
      <c r="CZ115">
        <f>AE115</f>
        <v>110781.14</v>
      </c>
      <c r="DA115">
        <f>AI115</f>
        <v>1</v>
      </c>
      <c r="DB115">
        <f>ROUND((ROUND(AT115*CZ115,2)*0),6)</f>
        <v>0</v>
      </c>
      <c r="DC115">
        <f>ROUND((ROUND(AT115*AG115,2)*0),6)</f>
        <v>0</v>
      </c>
    </row>
    <row r="116" spans="1:107" x14ac:dyDescent="0.2">
      <c r="A116">
        <f>ROW(Source!A162)</f>
        <v>162</v>
      </c>
      <c r="B116">
        <v>38799519</v>
      </c>
      <c r="C116">
        <v>38800459</v>
      </c>
      <c r="D116">
        <v>38469133</v>
      </c>
      <c r="E116">
        <v>1</v>
      </c>
      <c r="F116">
        <v>1</v>
      </c>
      <c r="G116">
        <v>27</v>
      </c>
      <c r="H116">
        <v>3</v>
      </c>
      <c r="I116" t="s">
        <v>526</v>
      </c>
      <c r="J116" t="s">
        <v>527</v>
      </c>
      <c r="K116" t="s">
        <v>528</v>
      </c>
      <c r="L116">
        <v>1348</v>
      </c>
      <c r="N116">
        <v>1009</v>
      </c>
      <c r="O116" t="s">
        <v>155</v>
      </c>
      <c r="P116" t="s">
        <v>155</v>
      </c>
      <c r="Q116">
        <v>1000</v>
      </c>
      <c r="W116">
        <v>0</v>
      </c>
      <c r="X116">
        <v>485376408</v>
      </c>
      <c r="Y116">
        <v>0</v>
      </c>
      <c r="AA116">
        <v>75026.559999999998</v>
      </c>
      <c r="AB116">
        <v>0</v>
      </c>
      <c r="AC116">
        <v>0</v>
      </c>
      <c r="AD116">
        <v>0</v>
      </c>
      <c r="AE116">
        <v>75026.559999999998</v>
      </c>
      <c r="AF116">
        <v>0</v>
      </c>
      <c r="AG116">
        <v>0</v>
      </c>
      <c r="AH116">
        <v>0</v>
      </c>
      <c r="AI116">
        <v>1</v>
      </c>
      <c r="AJ116">
        <v>1</v>
      </c>
      <c r="AK116">
        <v>1</v>
      </c>
      <c r="AL116">
        <v>1</v>
      </c>
      <c r="AN116">
        <v>0</v>
      </c>
      <c r="AO116">
        <v>1</v>
      </c>
      <c r="AP116">
        <v>1</v>
      </c>
      <c r="AQ116">
        <v>0</v>
      </c>
      <c r="AR116">
        <v>0</v>
      </c>
      <c r="AS116" t="s">
        <v>3</v>
      </c>
      <c r="AT116">
        <v>1</v>
      </c>
      <c r="AU116" t="s">
        <v>21</v>
      </c>
      <c r="AV116">
        <v>0</v>
      </c>
      <c r="AW116">
        <v>2</v>
      </c>
      <c r="AX116">
        <v>38800464</v>
      </c>
      <c r="AY116">
        <v>1</v>
      </c>
      <c r="AZ116">
        <v>0</v>
      </c>
      <c r="BA116">
        <v>113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CX116">
        <f>Y116*Source!I162</f>
        <v>0</v>
      </c>
      <c r="CY116">
        <f>AA116</f>
        <v>75026.559999999998</v>
      </c>
      <c r="CZ116">
        <f>AE116</f>
        <v>75026.559999999998</v>
      </c>
      <c r="DA116">
        <f>AI116</f>
        <v>1</v>
      </c>
      <c r="DB116">
        <f>ROUND((ROUND(AT116*CZ116,2)*0),6)</f>
        <v>0</v>
      </c>
      <c r="DC116">
        <f>ROUND((ROUND(AT116*AG116,2)*0),6)</f>
        <v>0</v>
      </c>
    </row>
    <row r="117" spans="1:107" x14ac:dyDescent="0.2">
      <c r="A117">
        <f>ROW(Source!A199)</f>
        <v>199</v>
      </c>
      <c r="B117">
        <v>38799519</v>
      </c>
      <c r="C117">
        <v>38800196</v>
      </c>
      <c r="D117">
        <v>38451941</v>
      </c>
      <c r="E117">
        <v>27</v>
      </c>
      <c r="F117">
        <v>1</v>
      </c>
      <c r="G117">
        <v>27</v>
      </c>
      <c r="H117">
        <v>1</v>
      </c>
      <c r="I117" t="s">
        <v>387</v>
      </c>
      <c r="J117" t="s">
        <v>3</v>
      </c>
      <c r="K117" t="s">
        <v>388</v>
      </c>
      <c r="L117">
        <v>1191</v>
      </c>
      <c r="N117">
        <v>1013</v>
      </c>
      <c r="O117" t="s">
        <v>389</v>
      </c>
      <c r="P117" t="s">
        <v>389</v>
      </c>
      <c r="Q117">
        <v>1</v>
      </c>
      <c r="W117">
        <v>0</v>
      </c>
      <c r="X117">
        <v>476480486</v>
      </c>
      <c r="Y117">
        <v>221.6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1</v>
      </c>
      <c r="AK117">
        <v>1</v>
      </c>
      <c r="AL117">
        <v>1</v>
      </c>
      <c r="AN117">
        <v>0</v>
      </c>
      <c r="AO117">
        <v>1</v>
      </c>
      <c r="AP117">
        <v>0</v>
      </c>
      <c r="AQ117">
        <v>0</v>
      </c>
      <c r="AR117">
        <v>0</v>
      </c>
      <c r="AS117" t="s">
        <v>3</v>
      </c>
      <c r="AT117">
        <v>221.6</v>
      </c>
      <c r="AU117" t="s">
        <v>3</v>
      </c>
      <c r="AV117">
        <v>1</v>
      </c>
      <c r="AW117">
        <v>2</v>
      </c>
      <c r="AX117">
        <v>38800198</v>
      </c>
      <c r="AY117">
        <v>1</v>
      </c>
      <c r="AZ117">
        <v>0</v>
      </c>
      <c r="BA117">
        <v>114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CX117">
        <f>Y117*Source!I199</f>
        <v>167.86199999999999</v>
      </c>
      <c r="CY117">
        <f>AD117</f>
        <v>0</v>
      </c>
      <c r="CZ117">
        <f>AH117</f>
        <v>0</v>
      </c>
      <c r="DA117">
        <f>AL117</f>
        <v>1</v>
      </c>
      <c r="DB117">
        <f t="shared" ref="DB117:DB148" si="14">ROUND(ROUND(AT117*CZ117,2),6)</f>
        <v>0</v>
      </c>
      <c r="DC117">
        <f t="shared" ref="DC117:DC148" si="15">ROUND(ROUND(AT117*AG117,2),6)</f>
        <v>0</v>
      </c>
    </row>
    <row r="118" spans="1:107" x14ac:dyDescent="0.2">
      <c r="A118">
        <f>ROW(Source!A200)</f>
        <v>200</v>
      </c>
      <c r="B118">
        <v>38799519</v>
      </c>
      <c r="C118">
        <v>38800199</v>
      </c>
      <c r="D118">
        <v>38451941</v>
      </c>
      <c r="E118">
        <v>27</v>
      </c>
      <c r="F118">
        <v>1</v>
      </c>
      <c r="G118">
        <v>27</v>
      </c>
      <c r="H118">
        <v>1</v>
      </c>
      <c r="I118" t="s">
        <v>387</v>
      </c>
      <c r="J118" t="s">
        <v>3</v>
      </c>
      <c r="K118" t="s">
        <v>388</v>
      </c>
      <c r="L118">
        <v>1191</v>
      </c>
      <c r="N118">
        <v>1013</v>
      </c>
      <c r="O118" t="s">
        <v>389</v>
      </c>
      <c r="P118" t="s">
        <v>389</v>
      </c>
      <c r="Q118">
        <v>1</v>
      </c>
      <c r="W118">
        <v>0</v>
      </c>
      <c r="X118">
        <v>476480486</v>
      </c>
      <c r="Y118">
        <v>12.42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1</v>
      </c>
      <c r="AK118">
        <v>1</v>
      </c>
      <c r="AL118">
        <v>1</v>
      </c>
      <c r="AN118">
        <v>0</v>
      </c>
      <c r="AO118">
        <v>1</v>
      </c>
      <c r="AP118">
        <v>0</v>
      </c>
      <c r="AQ118">
        <v>0</v>
      </c>
      <c r="AR118">
        <v>0</v>
      </c>
      <c r="AS118" t="s">
        <v>3</v>
      </c>
      <c r="AT118">
        <v>12.42</v>
      </c>
      <c r="AU118" t="s">
        <v>3</v>
      </c>
      <c r="AV118">
        <v>1</v>
      </c>
      <c r="AW118">
        <v>2</v>
      </c>
      <c r="AX118">
        <v>38800203</v>
      </c>
      <c r="AY118">
        <v>1</v>
      </c>
      <c r="AZ118">
        <v>0</v>
      </c>
      <c r="BA118">
        <v>115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CX118">
        <f>Y118*Source!I200</f>
        <v>9.4081499999999991</v>
      </c>
      <c r="CY118">
        <f>AD118</f>
        <v>0</v>
      </c>
      <c r="CZ118">
        <f>AH118</f>
        <v>0</v>
      </c>
      <c r="DA118">
        <f>AL118</f>
        <v>1</v>
      </c>
      <c r="DB118">
        <f t="shared" si="14"/>
        <v>0</v>
      </c>
      <c r="DC118">
        <f t="shared" si="15"/>
        <v>0</v>
      </c>
    </row>
    <row r="119" spans="1:107" x14ac:dyDescent="0.2">
      <c r="A119">
        <f>ROW(Source!A200)</f>
        <v>200</v>
      </c>
      <c r="B119">
        <v>38799519</v>
      </c>
      <c r="C119">
        <v>38800199</v>
      </c>
      <c r="D119">
        <v>38464567</v>
      </c>
      <c r="E119">
        <v>1</v>
      </c>
      <c r="F119">
        <v>1</v>
      </c>
      <c r="G119">
        <v>27</v>
      </c>
      <c r="H119">
        <v>2</v>
      </c>
      <c r="I119" t="s">
        <v>412</v>
      </c>
      <c r="J119" t="s">
        <v>413</v>
      </c>
      <c r="K119" t="s">
        <v>414</v>
      </c>
      <c r="L119">
        <v>1368</v>
      </c>
      <c r="N119">
        <v>1011</v>
      </c>
      <c r="O119" t="s">
        <v>393</v>
      </c>
      <c r="P119" t="s">
        <v>393</v>
      </c>
      <c r="Q119">
        <v>1</v>
      </c>
      <c r="W119">
        <v>0</v>
      </c>
      <c r="X119">
        <v>734322642</v>
      </c>
      <c r="Y119">
        <v>13.12</v>
      </c>
      <c r="AA119">
        <v>0</v>
      </c>
      <c r="AB119">
        <v>744.2</v>
      </c>
      <c r="AC119">
        <v>423.17</v>
      </c>
      <c r="AD119">
        <v>0</v>
      </c>
      <c r="AE119">
        <v>0</v>
      </c>
      <c r="AF119">
        <v>744.2</v>
      </c>
      <c r="AG119">
        <v>423.17</v>
      </c>
      <c r="AH119">
        <v>0</v>
      </c>
      <c r="AI119">
        <v>1</v>
      </c>
      <c r="AJ119">
        <v>1</v>
      </c>
      <c r="AK119">
        <v>1</v>
      </c>
      <c r="AL119">
        <v>1</v>
      </c>
      <c r="AN119">
        <v>0</v>
      </c>
      <c r="AO119">
        <v>1</v>
      </c>
      <c r="AP119">
        <v>0</v>
      </c>
      <c r="AQ119">
        <v>0</v>
      </c>
      <c r="AR119">
        <v>0</v>
      </c>
      <c r="AS119" t="s">
        <v>3</v>
      </c>
      <c r="AT119">
        <v>13.12</v>
      </c>
      <c r="AU119" t="s">
        <v>3</v>
      </c>
      <c r="AV119">
        <v>0</v>
      </c>
      <c r="AW119">
        <v>2</v>
      </c>
      <c r="AX119">
        <v>38800204</v>
      </c>
      <c r="AY119">
        <v>1</v>
      </c>
      <c r="AZ119">
        <v>0</v>
      </c>
      <c r="BA119">
        <v>116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CX119">
        <f>Y119*Source!I200</f>
        <v>9.9383999999999979</v>
      </c>
      <c r="CY119">
        <f>AB119</f>
        <v>744.2</v>
      </c>
      <c r="CZ119">
        <f>AF119</f>
        <v>744.2</v>
      </c>
      <c r="DA119">
        <f>AJ119</f>
        <v>1</v>
      </c>
      <c r="DB119">
        <f t="shared" si="14"/>
        <v>9763.9</v>
      </c>
      <c r="DC119">
        <f t="shared" si="15"/>
        <v>5551.99</v>
      </c>
    </row>
    <row r="120" spans="1:107" x14ac:dyDescent="0.2">
      <c r="A120">
        <f>ROW(Source!A200)</f>
        <v>200</v>
      </c>
      <c r="B120">
        <v>38799519</v>
      </c>
      <c r="C120">
        <v>38800199</v>
      </c>
      <c r="D120">
        <v>38465034</v>
      </c>
      <c r="E120">
        <v>1</v>
      </c>
      <c r="F120">
        <v>1</v>
      </c>
      <c r="G120">
        <v>27</v>
      </c>
      <c r="H120">
        <v>2</v>
      </c>
      <c r="I120" t="s">
        <v>420</v>
      </c>
      <c r="J120" t="s">
        <v>421</v>
      </c>
      <c r="K120" t="s">
        <v>422</v>
      </c>
      <c r="L120">
        <v>1368</v>
      </c>
      <c r="N120">
        <v>1011</v>
      </c>
      <c r="O120" t="s">
        <v>393</v>
      </c>
      <c r="P120" t="s">
        <v>393</v>
      </c>
      <c r="Q120">
        <v>1</v>
      </c>
      <c r="W120">
        <v>0</v>
      </c>
      <c r="X120">
        <v>-1383996176</v>
      </c>
      <c r="Y120">
        <v>13.12</v>
      </c>
      <c r="AA120">
        <v>0</v>
      </c>
      <c r="AB120">
        <v>3.75</v>
      </c>
      <c r="AC120">
        <v>2.56</v>
      </c>
      <c r="AD120">
        <v>0</v>
      </c>
      <c r="AE120">
        <v>0</v>
      </c>
      <c r="AF120">
        <v>3.75</v>
      </c>
      <c r="AG120">
        <v>2.56</v>
      </c>
      <c r="AH120">
        <v>0</v>
      </c>
      <c r="AI120">
        <v>1</v>
      </c>
      <c r="AJ120">
        <v>1</v>
      </c>
      <c r="AK120">
        <v>1</v>
      </c>
      <c r="AL120">
        <v>1</v>
      </c>
      <c r="AN120">
        <v>0</v>
      </c>
      <c r="AO120">
        <v>1</v>
      </c>
      <c r="AP120">
        <v>0</v>
      </c>
      <c r="AQ120">
        <v>0</v>
      </c>
      <c r="AR120">
        <v>0</v>
      </c>
      <c r="AS120" t="s">
        <v>3</v>
      </c>
      <c r="AT120">
        <v>13.12</v>
      </c>
      <c r="AU120" t="s">
        <v>3</v>
      </c>
      <c r="AV120">
        <v>0</v>
      </c>
      <c r="AW120">
        <v>2</v>
      </c>
      <c r="AX120">
        <v>38800205</v>
      </c>
      <c r="AY120">
        <v>1</v>
      </c>
      <c r="AZ120">
        <v>0</v>
      </c>
      <c r="BA120">
        <v>117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CX120">
        <f>Y120*Source!I200</f>
        <v>9.9383999999999979</v>
      </c>
      <c r="CY120">
        <f>AB120</f>
        <v>3.75</v>
      </c>
      <c r="CZ120">
        <f>AF120</f>
        <v>3.75</v>
      </c>
      <c r="DA120">
        <f>AJ120</f>
        <v>1</v>
      </c>
      <c r="DB120">
        <f t="shared" si="14"/>
        <v>49.2</v>
      </c>
      <c r="DC120">
        <f t="shared" si="15"/>
        <v>33.590000000000003</v>
      </c>
    </row>
    <row r="121" spans="1:107" x14ac:dyDescent="0.2">
      <c r="A121">
        <f>ROW(Source!A201)</f>
        <v>201</v>
      </c>
      <c r="B121">
        <v>38799519</v>
      </c>
      <c r="C121">
        <v>38800206</v>
      </c>
      <c r="D121">
        <v>38451941</v>
      </c>
      <c r="E121">
        <v>27</v>
      </c>
      <c r="F121">
        <v>1</v>
      </c>
      <c r="G121">
        <v>27</v>
      </c>
      <c r="H121">
        <v>1</v>
      </c>
      <c r="I121" t="s">
        <v>387</v>
      </c>
      <c r="J121" t="s">
        <v>3</v>
      </c>
      <c r="K121" t="s">
        <v>388</v>
      </c>
      <c r="L121">
        <v>1191</v>
      </c>
      <c r="N121">
        <v>1013</v>
      </c>
      <c r="O121" t="s">
        <v>389</v>
      </c>
      <c r="P121" t="s">
        <v>389</v>
      </c>
      <c r="Q121">
        <v>1</v>
      </c>
      <c r="W121">
        <v>0</v>
      </c>
      <c r="X121">
        <v>476480486</v>
      </c>
      <c r="Y121">
        <v>3.44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</v>
      </c>
      <c r="AJ121">
        <v>1</v>
      </c>
      <c r="AK121">
        <v>1</v>
      </c>
      <c r="AL121">
        <v>1</v>
      </c>
      <c r="AN121">
        <v>0</v>
      </c>
      <c r="AO121">
        <v>1</v>
      </c>
      <c r="AP121">
        <v>0</v>
      </c>
      <c r="AQ121">
        <v>0</v>
      </c>
      <c r="AR121">
        <v>0</v>
      </c>
      <c r="AS121" t="s">
        <v>3</v>
      </c>
      <c r="AT121">
        <v>3.44</v>
      </c>
      <c r="AU121" t="s">
        <v>3</v>
      </c>
      <c r="AV121">
        <v>1</v>
      </c>
      <c r="AW121">
        <v>2</v>
      </c>
      <c r="AX121">
        <v>38800211</v>
      </c>
      <c r="AY121">
        <v>1</v>
      </c>
      <c r="AZ121">
        <v>0</v>
      </c>
      <c r="BA121">
        <v>118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CX121">
        <f>Y121*Source!I201</f>
        <v>208.464</v>
      </c>
      <c r="CY121">
        <f>AD121</f>
        <v>0</v>
      </c>
      <c r="CZ121">
        <f>AH121</f>
        <v>0</v>
      </c>
      <c r="DA121">
        <f>AL121</f>
        <v>1</v>
      </c>
      <c r="DB121">
        <f t="shared" si="14"/>
        <v>0</v>
      </c>
      <c r="DC121">
        <f t="shared" si="15"/>
        <v>0</v>
      </c>
    </row>
    <row r="122" spans="1:107" x14ac:dyDescent="0.2">
      <c r="A122">
        <f>ROW(Source!A201)</f>
        <v>201</v>
      </c>
      <c r="B122">
        <v>38799519</v>
      </c>
      <c r="C122">
        <v>38800206</v>
      </c>
      <c r="D122">
        <v>38464567</v>
      </c>
      <c r="E122">
        <v>1</v>
      </c>
      <c r="F122">
        <v>1</v>
      </c>
      <c r="G122">
        <v>27</v>
      </c>
      <c r="H122">
        <v>2</v>
      </c>
      <c r="I122" t="s">
        <v>412</v>
      </c>
      <c r="J122" t="s">
        <v>413</v>
      </c>
      <c r="K122" t="s">
        <v>414</v>
      </c>
      <c r="L122">
        <v>1368</v>
      </c>
      <c r="N122">
        <v>1011</v>
      </c>
      <c r="O122" t="s">
        <v>393</v>
      </c>
      <c r="P122" t="s">
        <v>393</v>
      </c>
      <c r="Q122">
        <v>1</v>
      </c>
      <c r="W122">
        <v>0</v>
      </c>
      <c r="X122">
        <v>734322642</v>
      </c>
      <c r="Y122">
        <v>0.38</v>
      </c>
      <c r="AA122">
        <v>0</v>
      </c>
      <c r="AB122">
        <v>744.2</v>
      </c>
      <c r="AC122">
        <v>423.17</v>
      </c>
      <c r="AD122">
        <v>0</v>
      </c>
      <c r="AE122">
        <v>0</v>
      </c>
      <c r="AF122">
        <v>744.2</v>
      </c>
      <c r="AG122">
        <v>423.17</v>
      </c>
      <c r="AH122">
        <v>0</v>
      </c>
      <c r="AI122">
        <v>1</v>
      </c>
      <c r="AJ122">
        <v>1</v>
      </c>
      <c r="AK122">
        <v>1</v>
      </c>
      <c r="AL122">
        <v>1</v>
      </c>
      <c r="AN122">
        <v>0</v>
      </c>
      <c r="AO122">
        <v>1</v>
      </c>
      <c r="AP122">
        <v>0</v>
      </c>
      <c r="AQ122">
        <v>0</v>
      </c>
      <c r="AR122">
        <v>0</v>
      </c>
      <c r="AS122" t="s">
        <v>3</v>
      </c>
      <c r="AT122">
        <v>0.38</v>
      </c>
      <c r="AU122" t="s">
        <v>3</v>
      </c>
      <c r="AV122">
        <v>0</v>
      </c>
      <c r="AW122">
        <v>2</v>
      </c>
      <c r="AX122">
        <v>38800212</v>
      </c>
      <c r="AY122">
        <v>1</v>
      </c>
      <c r="AZ122">
        <v>0</v>
      </c>
      <c r="BA122">
        <v>119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CX122">
        <f>Y122*Source!I201</f>
        <v>23.028000000000002</v>
      </c>
      <c r="CY122">
        <f>AB122</f>
        <v>744.2</v>
      </c>
      <c r="CZ122">
        <f>AF122</f>
        <v>744.2</v>
      </c>
      <c r="DA122">
        <f>AJ122</f>
        <v>1</v>
      </c>
      <c r="DB122">
        <f t="shared" si="14"/>
        <v>282.8</v>
      </c>
      <c r="DC122">
        <f t="shared" si="15"/>
        <v>160.80000000000001</v>
      </c>
    </row>
    <row r="123" spans="1:107" x14ac:dyDescent="0.2">
      <c r="A123">
        <f>ROW(Source!A201)</f>
        <v>201</v>
      </c>
      <c r="B123">
        <v>38799519</v>
      </c>
      <c r="C123">
        <v>38800206</v>
      </c>
      <c r="D123">
        <v>38465034</v>
      </c>
      <c r="E123">
        <v>1</v>
      </c>
      <c r="F123">
        <v>1</v>
      </c>
      <c r="G123">
        <v>27</v>
      </c>
      <c r="H123">
        <v>2</v>
      </c>
      <c r="I123" t="s">
        <v>420</v>
      </c>
      <c r="J123" t="s">
        <v>421</v>
      </c>
      <c r="K123" t="s">
        <v>422</v>
      </c>
      <c r="L123">
        <v>1368</v>
      </c>
      <c r="N123">
        <v>1011</v>
      </c>
      <c r="O123" t="s">
        <v>393</v>
      </c>
      <c r="P123" t="s">
        <v>393</v>
      </c>
      <c r="Q123">
        <v>1</v>
      </c>
      <c r="W123">
        <v>0</v>
      </c>
      <c r="X123">
        <v>-1383996176</v>
      </c>
      <c r="Y123">
        <v>0.38</v>
      </c>
      <c r="AA123">
        <v>0</v>
      </c>
      <c r="AB123">
        <v>3.75</v>
      </c>
      <c r="AC123">
        <v>2.56</v>
      </c>
      <c r="AD123">
        <v>0</v>
      </c>
      <c r="AE123">
        <v>0</v>
      </c>
      <c r="AF123">
        <v>3.75</v>
      </c>
      <c r="AG123">
        <v>2.56</v>
      </c>
      <c r="AH123">
        <v>0</v>
      </c>
      <c r="AI123">
        <v>1</v>
      </c>
      <c r="AJ123">
        <v>1</v>
      </c>
      <c r="AK123">
        <v>1</v>
      </c>
      <c r="AL123">
        <v>1</v>
      </c>
      <c r="AN123">
        <v>0</v>
      </c>
      <c r="AO123">
        <v>1</v>
      </c>
      <c r="AP123">
        <v>0</v>
      </c>
      <c r="AQ123">
        <v>0</v>
      </c>
      <c r="AR123">
        <v>0</v>
      </c>
      <c r="AS123" t="s">
        <v>3</v>
      </c>
      <c r="AT123">
        <v>0.38</v>
      </c>
      <c r="AU123" t="s">
        <v>3</v>
      </c>
      <c r="AV123">
        <v>0</v>
      </c>
      <c r="AW123">
        <v>2</v>
      </c>
      <c r="AX123">
        <v>38800213</v>
      </c>
      <c r="AY123">
        <v>1</v>
      </c>
      <c r="AZ123">
        <v>0</v>
      </c>
      <c r="BA123">
        <v>120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CX123">
        <f>Y123*Source!I201</f>
        <v>23.028000000000002</v>
      </c>
      <c r="CY123">
        <f>AB123</f>
        <v>3.75</v>
      </c>
      <c r="CZ123">
        <f>AF123</f>
        <v>3.75</v>
      </c>
      <c r="DA123">
        <f>AJ123</f>
        <v>1</v>
      </c>
      <c r="DB123">
        <f t="shared" si="14"/>
        <v>1.43</v>
      </c>
      <c r="DC123">
        <f t="shared" si="15"/>
        <v>0.97</v>
      </c>
    </row>
    <row r="124" spans="1:107" x14ac:dyDescent="0.2">
      <c r="A124">
        <f>ROW(Source!A201)</f>
        <v>201</v>
      </c>
      <c r="B124">
        <v>38799519</v>
      </c>
      <c r="C124">
        <v>38800206</v>
      </c>
      <c r="D124">
        <v>38466366</v>
      </c>
      <c r="E124">
        <v>1</v>
      </c>
      <c r="F124">
        <v>1</v>
      </c>
      <c r="G124">
        <v>27</v>
      </c>
      <c r="H124">
        <v>3</v>
      </c>
      <c r="I124" t="s">
        <v>423</v>
      </c>
      <c r="J124" t="s">
        <v>424</v>
      </c>
      <c r="K124" t="s">
        <v>425</v>
      </c>
      <c r="L124">
        <v>1339</v>
      </c>
      <c r="N124">
        <v>1007</v>
      </c>
      <c r="O124" t="s">
        <v>35</v>
      </c>
      <c r="P124" t="s">
        <v>35</v>
      </c>
      <c r="Q124">
        <v>1</v>
      </c>
      <c r="W124">
        <v>0</v>
      </c>
      <c r="X124">
        <v>-1662970571</v>
      </c>
      <c r="Y124">
        <v>1.1200000000000001</v>
      </c>
      <c r="AA124">
        <v>590.78</v>
      </c>
      <c r="AB124">
        <v>0</v>
      </c>
      <c r="AC124">
        <v>0</v>
      </c>
      <c r="AD124">
        <v>0</v>
      </c>
      <c r="AE124">
        <v>590.78</v>
      </c>
      <c r="AF124">
        <v>0</v>
      </c>
      <c r="AG124">
        <v>0</v>
      </c>
      <c r="AH124">
        <v>0</v>
      </c>
      <c r="AI124">
        <v>1</v>
      </c>
      <c r="AJ124">
        <v>1</v>
      </c>
      <c r="AK124">
        <v>1</v>
      </c>
      <c r="AL124">
        <v>1</v>
      </c>
      <c r="AN124">
        <v>0</v>
      </c>
      <c r="AO124">
        <v>1</v>
      </c>
      <c r="AP124">
        <v>0</v>
      </c>
      <c r="AQ124">
        <v>0</v>
      </c>
      <c r="AR124">
        <v>0</v>
      </c>
      <c r="AS124" t="s">
        <v>3</v>
      </c>
      <c r="AT124">
        <v>1.1200000000000001</v>
      </c>
      <c r="AU124" t="s">
        <v>3</v>
      </c>
      <c r="AV124">
        <v>0</v>
      </c>
      <c r="AW124">
        <v>2</v>
      </c>
      <c r="AX124">
        <v>38800214</v>
      </c>
      <c r="AY124">
        <v>1</v>
      </c>
      <c r="AZ124">
        <v>0</v>
      </c>
      <c r="BA124">
        <v>121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CX124">
        <f>Y124*Source!I201</f>
        <v>67.872000000000014</v>
      </c>
      <c r="CY124">
        <f>AA124</f>
        <v>590.78</v>
      </c>
      <c r="CZ124">
        <f>AE124</f>
        <v>590.78</v>
      </c>
      <c r="DA124">
        <f>AI124</f>
        <v>1</v>
      </c>
      <c r="DB124">
        <f t="shared" si="14"/>
        <v>661.67</v>
      </c>
      <c r="DC124">
        <f t="shared" si="15"/>
        <v>0</v>
      </c>
    </row>
    <row r="125" spans="1:107" x14ac:dyDescent="0.2">
      <c r="A125">
        <f>ROW(Source!A202)</f>
        <v>202</v>
      </c>
      <c r="B125">
        <v>38799519</v>
      </c>
      <c r="C125">
        <v>38800215</v>
      </c>
      <c r="D125">
        <v>38451941</v>
      </c>
      <c r="E125">
        <v>27</v>
      </c>
      <c r="F125">
        <v>1</v>
      </c>
      <c r="G125">
        <v>27</v>
      </c>
      <c r="H125">
        <v>1</v>
      </c>
      <c r="I125" t="s">
        <v>387</v>
      </c>
      <c r="J125" t="s">
        <v>3</v>
      </c>
      <c r="K125" t="s">
        <v>388</v>
      </c>
      <c r="L125">
        <v>1191</v>
      </c>
      <c r="N125">
        <v>1013</v>
      </c>
      <c r="O125" t="s">
        <v>389</v>
      </c>
      <c r="P125" t="s">
        <v>389</v>
      </c>
      <c r="Q125">
        <v>1</v>
      </c>
      <c r="W125">
        <v>0</v>
      </c>
      <c r="X125">
        <v>476480486</v>
      </c>
      <c r="Y125">
        <v>1.1499999999999999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1</v>
      </c>
      <c r="AK125">
        <v>1</v>
      </c>
      <c r="AL125">
        <v>1</v>
      </c>
      <c r="AN125">
        <v>0</v>
      </c>
      <c r="AO125">
        <v>1</v>
      </c>
      <c r="AP125">
        <v>0</v>
      </c>
      <c r="AQ125">
        <v>0</v>
      </c>
      <c r="AR125">
        <v>0</v>
      </c>
      <c r="AS125" t="s">
        <v>3</v>
      </c>
      <c r="AT125">
        <v>1.1499999999999999</v>
      </c>
      <c r="AU125" t="s">
        <v>3</v>
      </c>
      <c r="AV125">
        <v>1</v>
      </c>
      <c r="AW125">
        <v>2</v>
      </c>
      <c r="AX125">
        <v>38800220</v>
      </c>
      <c r="AY125">
        <v>1</v>
      </c>
      <c r="AZ125">
        <v>0</v>
      </c>
      <c r="BA125">
        <v>122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CX125">
        <f>Y125*Source!I202</f>
        <v>187.45</v>
      </c>
      <c r="CY125">
        <f>AD125</f>
        <v>0</v>
      </c>
      <c r="CZ125">
        <f>AH125</f>
        <v>0</v>
      </c>
      <c r="DA125">
        <f>AL125</f>
        <v>1</v>
      </c>
      <c r="DB125">
        <f t="shared" si="14"/>
        <v>0</v>
      </c>
      <c r="DC125">
        <f t="shared" si="15"/>
        <v>0</v>
      </c>
    </row>
    <row r="126" spans="1:107" x14ac:dyDescent="0.2">
      <c r="A126">
        <f>ROW(Source!A202)</f>
        <v>202</v>
      </c>
      <c r="B126">
        <v>38799519</v>
      </c>
      <c r="C126">
        <v>38800215</v>
      </c>
      <c r="D126">
        <v>38465314</v>
      </c>
      <c r="E126">
        <v>1</v>
      </c>
      <c r="F126">
        <v>1</v>
      </c>
      <c r="G126">
        <v>27</v>
      </c>
      <c r="H126">
        <v>3</v>
      </c>
      <c r="I126" t="s">
        <v>426</v>
      </c>
      <c r="J126" t="s">
        <v>427</v>
      </c>
      <c r="K126" t="s">
        <v>428</v>
      </c>
      <c r="L126">
        <v>1348</v>
      </c>
      <c r="N126">
        <v>1009</v>
      </c>
      <c r="O126" t="s">
        <v>155</v>
      </c>
      <c r="P126" t="s">
        <v>155</v>
      </c>
      <c r="Q126">
        <v>1000</v>
      </c>
      <c r="W126">
        <v>0</v>
      </c>
      <c r="X126">
        <v>213373920</v>
      </c>
      <c r="Y126">
        <v>4.4000000000000003E-3</v>
      </c>
      <c r="AA126">
        <v>4207.5</v>
      </c>
      <c r="AB126">
        <v>0</v>
      </c>
      <c r="AC126">
        <v>0</v>
      </c>
      <c r="AD126">
        <v>0</v>
      </c>
      <c r="AE126">
        <v>4207.5</v>
      </c>
      <c r="AF126">
        <v>0</v>
      </c>
      <c r="AG126">
        <v>0</v>
      </c>
      <c r="AH126">
        <v>0</v>
      </c>
      <c r="AI126">
        <v>1</v>
      </c>
      <c r="AJ126">
        <v>1</v>
      </c>
      <c r="AK126">
        <v>1</v>
      </c>
      <c r="AL126">
        <v>1</v>
      </c>
      <c r="AN126">
        <v>0</v>
      </c>
      <c r="AO126">
        <v>1</v>
      </c>
      <c r="AP126">
        <v>0</v>
      </c>
      <c r="AQ126">
        <v>0</v>
      </c>
      <c r="AR126">
        <v>0</v>
      </c>
      <c r="AS126" t="s">
        <v>3</v>
      </c>
      <c r="AT126">
        <v>4.4000000000000003E-3</v>
      </c>
      <c r="AU126" t="s">
        <v>3</v>
      </c>
      <c r="AV126">
        <v>0</v>
      </c>
      <c r="AW126">
        <v>2</v>
      </c>
      <c r="AX126">
        <v>38800221</v>
      </c>
      <c r="AY126">
        <v>1</v>
      </c>
      <c r="AZ126">
        <v>0</v>
      </c>
      <c r="BA126">
        <v>123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CX126">
        <f>Y126*Source!I202</f>
        <v>0.71720000000000006</v>
      </c>
      <c r="CY126">
        <f>AA126</f>
        <v>4207.5</v>
      </c>
      <c r="CZ126">
        <f>AE126</f>
        <v>4207.5</v>
      </c>
      <c r="DA126">
        <f>AI126</f>
        <v>1</v>
      </c>
      <c r="DB126">
        <f t="shared" si="14"/>
        <v>18.510000000000002</v>
      </c>
      <c r="DC126">
        <f t="shared" si="15"/>
        <v>0</v>
      </c>
    </row>
    <row r="127" spans="1:107" x14ac:dyDescent="0.2">
      <c r="A127">
        <f>ROW(Source!A202)</f>
        <v>202</v>
      </c>
      <c r="B127">
        <v>38799519</v>
      </c>
      <c r="C127">
        <v>38800215</v>
      </c>
      <c r="D127">
        <v>38468080</v>
      </c>
      <c r="E127">
        <v>1</v>
      </c>
      <c r="F127">
        <v>1</v>
      </c>
      <c r="G127">
        <v>27</v>
      </c>
      <c r="H127">
        <v>3</v>
      </c>
      <c r="I127" t="s">
        <v>429</v>
      </c>
      <c r="J127" t="s">
        <v>430</v>
      </c>
      <c r="K127" t="s">
        <v>431</v>
      </c>
      <c r="L127">
        <v>1339</v>
      </c>
      <c r="N127">
        <v>1007</v>
      </c>
      <c r="O127" t="s">
        <v>35</v>
      </c>
      <c r="P127" t="s">
        <v>35</v>
      </c>
      <c r="Q127">
        <v>1</v>
      </c>
      <c r="W127">
        <v>0</v>
      </c>
      <c r="X127">
        <v>-697630842</v>
      </c>
      <c r="Y127">
        <v>7.5999999999999998E-2</v>
      </c>
      <c r="AA127">
        <v>3714.73</v>
      </c>
      <c r="AB127">
        <v>0</v>
      </c>
      <c r="AC127">
        <v>0</v>
      </c>
      <c r="AD127">
        <v>0</v>
      </c>
      <c r="AE127">
        <v>3714.73</v>
      </c>
      <c r="AF127">
        <v>0</v>
      </c>
      <c r="AG127">
        <v>0</v>
      </c>
      <c r="AH127">
        <v>0</v>
      </c>
      <c r="AI127">
        <v>1</v>
      </c>
      <c r="AJ127">
        <v>1</v>
      </c>
      <c r="AK127">
        <v>1</v>
      </c>
      <c r="AL127">
        <v>1</v>
      </c>
      <c r="AN127">
        <v>0</v>
      </c>
      <c r="AO127">
        <v>1</v>
      </c>
      <c r="AP127">
        <v>0</v>
      </c>
      <c r="AQ127">
        <v>0</v>
      </c>
      <c r="AR127">
        <v>0</v>
      </c>
      <c r="AS127" t="s">
        <v>3</v>
      </c>
      <c r="AT127">
        <v>7.5999999999999998E-2</v>
      </c>
      <c r="AU127" t="s">
        <v>3</v>
      </c>
      <c r="AV127">
        <v>0</v>
      </c>
      <c r="AW127">
        <v>2</v>
      </c>
      <c r="AX127">
        <v>38800222</v>
      </c>
      <c r="AY127">
        <v>1</v>
      </c>
      <c r="AZ127">
        <v>0</v>
      </c>
      <c r="BA127">
        <v>124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CX127">
        <f>Y127*Source!I202</f>
        <v>12.388</v>
      </c>
      <c r="CY127">
        <f>AA127</f>
        <v>3714.73</v>
      </c>
      <c r="CZ127">
        <f>AE127</f>
        <v>3714.73</v>
      </c>
      <c r="DA127">
        <f>AI127</f>
        <v>1</v>
      </c>
      <c r="DB127">
        <f t="shared" si="14"/>
        <v>282.32</v>
      </c>
      <c r="DC127">
        <f t="shared" si="15"/>
        <v>0</v>
      </c>
    </row>
    <row r="128" spans="1:107" x14ac:dyDescent="0.2">
      <c r="A128">
        <f>ROW(Source!A202)</f>
        <v>202</v>
      </c>
      <c r="B128">
        <v>38799519</v>
      </c>
      <c r="C128">
        <v>38800215</v>
      </c>
      <c r="D128">
        <v>38468893</v>
      </c>
      <c r="E128">
        <v>1</v>
      </c>
      <c r="F128">
        <v>1</v>
      </c>
      <c r="G128">
        <v>27</v>
      </c>
      <c r="H128">
        <v>3</v>
      </c>
      <c r="I128" t="s">
        <v>124</v>
      </c>
      <c r="J128" t="s">
        <v>126</v>
      </c>
      <c r="K128" t="s">
        <v>125</v>
      </c>
      <c r="L128">
        <v>1339</v>
      </c>
      <c r="N128">
        <v>1007</v>
      </c>
      <c r="O128" t="s">
        <v>35</v>
      </c>
      <c r="P128" t="s">
        <v>35</v>
      </c>
      <c r="Q128">
        <v>1</v>
      </c>
      <c r="W128">
        <v>0</v>
      </c>
      <c r="X128">
        <v>858864401</v>
      </c>
      <c r="Y128">
        <v>0.01</v>
      </c>
      <c r="AA128">
        <v>9014.9</v>
      </c>
      <c r="AB128">
        <v>0</v>
      </c>
      <c r="AC128">
        <v>0</v>
      </c>
      <c r="AD128">
        <v>0</v>
      </c>
      <c r="AE128">
        <v>9014.9</v>
      </c>
      <c r="AF128">
        <v>0</v>
      </c>
      <c r="AG128">
        <v>0</v>
      </c>
      <c r="AH128">
        <v>0</v>
      </c>
      <c r="AI128">
        <v>1</v>
      </c>
      <c r="AJ128">
        <v>1</v>
      </c>
      <c r="AK128">
        <v>1</v>
      </c>
      <c r="AL128">
        <v>1</v>
      </c>
      <c r="AN128">
        <v>0</v>
      </c>
      <c r="AO128">
        <v>0</v>
      </c>
      <c r="AP128">
        <v>0</v>
      </c>
      <c r="AQ128">
        <v>0</v>
      </c>
      <c r="AR128">
        <v>0</v>
      </c>
      <c r="AS128" t="s">
        <v>3</v>
      </c>
      <c r="AT128">
        <v>0.01</v>
      </c>
      <c r="AU128" t="s">
        <v>3</v>
      </c>
      <c r="AV128">
        <v>0</v>
      </c>
      <c r="AW128">
        <v>1</v>
      </c>
      <c r="AX128">
        <v>-1</v>
      </c>
      <c r="AY128">
        <v>0</v>
      </c>
      <c r="AZ128">
        <v>0</v>
      </c>
      <c r="BA128" t="s">
        <v>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CX128">
        <f>Y128*Source!I202</f>
        <v>1.6300000000000001</v>
      </c>
      <c r="CY128">
        <f>AA128</f>
        <v>9014.9</v>
      </c>
      <c r="CZ128">
        <f>AE128</f>
        <v>9014.9</v>
      </c>
      <c r="DA128">
        <f>AI128</f>
        <v>1</v>
      </c>
      <c r="DB128">
        <f t="shared" si="14"/>
        <v>90.15</v>
      </c>
      <c r="DC128">
        <f t="shared" si="15"/>
        <v>0</v>
      </c>
    </row>
    <row r="129" spans="1:107" x14ac:dyDescent="0.2">
      <c r="A129">
        <f>ROW(Source!A204)</f>
        <v>204</v>
      </c>
      <c r="B129">
        <v>38799519</v>
      </c>
      <c r="C129">
        <v>38800224</v>
      </c>
      <c r="D129">
        <v>38451941</v>
      </c>
      <c r="E129">
        <v>27</v>
      </c>
      <c r="F129">
        <v>1</v>
      </c>
      <c r="G129">
        <v>27</v>
      </c>
      <c r="H129">
        <v>1</v>
      </c>
      <c r="I129" t="s">
        <v>387</v>
      </c>
      <c r="J129" t="s">
        <v>3</v>
      </c>
      <c r="K129" t="s">
        <v>388</v>
      </c>
      <c r="L129">
        <v>1191</v>
      </c>
      <c r="N129">
        <v>1013</v>
      </c>
      <c r="O129" t="s">
        <v>389</v>
      </c>
      <c r="P129" t="s">
        <v>389</v>
      </c>
      <c r="Q129">
        <v>1</v>
      </c>
      <c r="W129">
        <v>0</v>
      </c>
      <c r="X129">
        <v>476480486</v>
      </c>
      <c r="Y129">
        <v>3.73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</v>
      </c>
      <c r="AJ129">
        <v>1</v>
      </c>
      <c r="AK129">
        <v>1</v>
      </c>
      <c r="AL129">
        <v>1</v>
      </c>
      <c r="AN129">
        <v>0</v>
      </c>
      <c r="AO129">
        <v>1</v>
      </c>
      <c r="AP129">
        <v>0</v>
      </c>
      <c r="AQ129">
        <v>0</v>
      </c>
      <c r="AR129">
        <v>0</v>
      </c>
      <c r="AS129" t="s">
        <v>3</v>
      </c>
      <c r="AT129">
        <v>3.73</v>
      </c>
      <c r="AU129" t="s">
        <v>3</v>
      </c>
      <c r="AV129">
        <v>1</v>
      </c>
      <c r="AW129">
        <v>2</v>
      </c>
      <c r="AX129">
        <v>38800231</v>
      </c>
      <c r="AY129">
        <v>1</v>
      </c>
      <c r="AZ129">
        <v>0</v>
      </c>
      <c r="BA129">
        <v>125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CX129">
        <f>Y129*Source!I204</f>
        <v>169.52850000000001</v>
      </c>
      <c r="CY129">
        <f>AD129</f>
        <v>0</v>
      </c>
      <c r="CZ129">
        <f>AH129</f>
        <v>0</v>
      </c>
      <c r="DA129">
        <f>AL129</f>
        <v>1</v>
      </c>
      <c r="DB129">
        <f t="shared" si="14"/>
        <v>0</v>
      </c>
      <c r="DC129">
        <f t="shared" si="15"/>
        <v>0</v>
      </c>
    </row>
    <row r="130" spans="1:107" x14ac:dyDescent="0.2">
      <c r="A130">
        <f>ROW(Source!A204)</f>
        <v>204</v>
      </c>
      <c r="B130">
        <v>38799519</v>
      </c>
      <c r="C130">
        <v>38800224</v>
      </c>
      <c r="D130">
        <v>38464567</v>
      </c>
      <c r="E130">
        <v>1</v>
      </c>
      <c r="F130">
        <v>1</v>
      </c>
      <c r="G130">
        <v>27</v>
      </c>
      <c r="H130">
        <v>2</v>
      </c>
      <c r="I130" t="s">
        <v>412</v>
      </c>
      <c r="J130" t="s">
        <v>413</v>
      </c>
      <c r="K130" t="s">
        <v>414</v>
      </c>
      <c r="L130">
        <v>1368</v>
      </c>
      <c r="N130">
        <v>1011</v>
      </c>
      <c r="O130" t="s">
        <v>393</v>
      </c>
      <c r="P130" t="s">
        <v>393</v>
      </c>
      <c r="Q130">
        <v>1</v>
      </c>
      <c r="W130">
        <v>0</v>
      </c>
      <c r="X130">
        <v>734322642</v>
      </c>
      <c r="Y130">
        <v>1.49</v>
      </c>
      <c r="AA130">
        <v>0</v>
      </c>
      <c r="AB130">
        <v>744.2</v>
      </c>
      <c r="AC130">
        <v>423.17</v>
      </c>
      <c r="AD130">
        <v>0</v>
      </c>
      <c r="AE130">
        <v>0</v>
      </c>
      <c r="AF130">
        <v>744.2</v>
      </c>
      <c r="AG130">
        <v>423.17</v>
      </c>
      <c r="AH130">
        <v>0</v>
      </c>
      <c r="AI130">
        <v>1</v>
      </c>
      <c r="AJ130">
        <v>1</v>
      </c>
      <c r="AK130">
        <v>1</v>
      </c>
      <c r="AL130">
        <v>1</v>
      </c>
      <c r="AN130">
        <v>0</v>
      </c>
      <c r="AO130">
        <v>1</v>
      </c>
      <c r="AP130">
        <v>0</v>
      </c>
      <c r="AQ130">
        <v>0</v>
      </c>
      <c r="AR130">
        <v>0</v>
      </c>
      <c r="AS130" t="s">
        <v>3</v>
      </c>
      <c r="AT130">
        <v>1.49</v>
      </c>
      <c r="AU130" t="s">
        <v>3</v>
      </c>
      <c r="AV130">
        <v>0</v>
      </c>
      <c r="AW130">
        <v>2</v>
      </c>
      <c r="AX130">
        <v>38800232</v>
      </c>
      <c r="AY130">
        <v>1</v>
      </c>
      <c r="AZ130">
        <v>0</v>
      </c>
      <c r="BA130">
        <v>126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CX130">
        <f>Y130*Source!I204</f>
        <v>67.720500000000001</v>
      </c>
      <c r="CY130">
        <f>AB130</f>
        <v>744.2</v>
      </c>
      <c r="CZ130">
        <f>AF130</f>
        <v>744.2</v>
      </c>
      <c r="DA130">
        <f>AJ130</f>
        <v>1</v>
      </c>
      <c r="DB130">
        <f t="shared" si="14"/>
        <v>1108.8599999999999</v>
      </c>
      <c r="DC130">
        <f t="shared" si="15"/>
        <v>630.52</v>
      </c>
    </row>
    <row r="131" spans="1:107" x14ac:dyDescent="0.2">
      <c r="A131">
        <f>ROW(Source!A204)</f>
        <v>204</v>
      </c>
      <c r="B131">
        <v>38799519</v>
      </c>
      <c r="C131">
        <v>38800224</v>
      </c>
      <c r="D131">
        <v>38465034</v>
      </c>
      <c r="E131">
        <v>1</v>
      </c>
      <c r="F131">
        <v>1</v>
      </c>
      <c r="G131">
        <v>27</v>
      </c>
      <c r="H131">
        <v>2</v>
      </c>
      <c r="I131" t="s">
        <v>420</v>
      </c>
      <c r="J131" t="s">
        <v>421</v>
      </c>
      <c r="K131" t="s">
        <v>422</v>
      </c>
      <c r="L131">
        <v>1368</v>
      </c>
      <c r="N131">
        <v>1011</v>
      </c>
      <c r="O131" t="s">
        <v>393</v>
      </c>
      <c r="P131" t="s">
        <v>393</v>
      </c>
      <c r="Q131">
        <v>1</v>
      </c>
      <c r="W131">
        <v>0</v>
      </c>
      <c r="X131">
        <v>-1383996176</v>
      </c>
      <c r="Y131">
        <v>1.49</v>
      </c>
      <c r="AA131">
        <v>0</v>
      </c>
      <c r="AB131">
        <v>3.75</v>
      </c>
      <c r="AC131">
        <v>2.56</v>
      </c>
      <c r="AD131">
        <v>0</v>
      </c>
      <c r="AE131">
        <v>0</v>
      </c>
      <c r="AF131">
        <v>3.75</v>
      </c>
      <c r="AG131">
        <v>2.56</v>
      </c>
      <c r="AH131">
        <v>0</v>
      </c>
      <c r="AI131">
        <v>1</v>
      </c>
      <c r="AJ131">
        <v>1</v>
      </c>
      <c r="AK131">
        <v>1</v>
      </c>
      <c r="AL131">
        <v>1</v>
      </c>
      <c r="AN131">
        <v>0</v>
      </c>
      <c r="AO131">
        <v>1</v>
      </c>
      <c r="AP131">
        <v>0</v>
      </c>
      <c r="AQ131">
        <v>0</v>
      </c>
      <c r="AR131">
        <v>0</v>
      </c>
      <c r="AS131" t="s">
        <v>3</v>
      </c>
      <c r="AT131">
        <v>1.49</v>
      </c>
      <c r="AU131" t="s">
        <v>3</v>
      </c>
      <c r="AV131">
        <v>0</v>
      </c>
      <c r="AW131">
        <v>2</v>
      </c>
      <c r="AX131">
        <v>38800233</v>
      </c>
      <c r="AY131">
        <v>1</v>
      </c>
      <c r="AZ131">
        <v>0</v>
      </c>
      <c r="BA131">
        <v>127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CX131">
        <f>Y131*Source!I204</f>
        <v>67.720500000000001</v>
      </c>
      <c r="CY131">
        <f>AB131</f>
        <v>3.75</v>
      </c>
      <c r="CZ131">
        <f>AF131</f>
        <v>3.75</v>
      </c>
      <c r="DA131">
        <f>AJ131</f>
        <v>1</v>
      </c>
      <c r="DB131">
        <f t="shared" si="14"/>
        <v>5.59</v>
      </c>
      <c r="DC131">
        <f t="shared" si="15"/>
        <v>3.81</v>
      </c>
    </row>
    <row r="132" spans="1:107" x14ac:dyDescent="0.2">
      <c r="A132">
        <f>ROW(Source!A204)</f>
        <v>204</v>
      </c>
      <c r="B132">
        <v>38799519</v>
      </c>
      <c r="C132">
        <v>38800224</v>
      </c>
      <c r="D132">
        <v>38466379</v>
      </c>
      <c r="E132">
        <v>1</v>
      </c>
      <c r="F132">
        <v>1</v>
      </c>
      <c r="G132">
        <v>27</v>
      </c>
      <c r="H132">
        <v>3</v>
      </c>
      <c r="I132" t="s">
        <v>432</v>
      </c>
      <c r="J132" t="s">
        <v>433</v>
      </c>
      <c r="K132" t="s">
        <v>434</v>
      </c>
      <c r="L132">
        <v>1339</v>
      </c>
      <c r="N132">
        <v>1007</v>
      </c>
      <c r="O132" t="s">
        <v>35</v>
      </c>
      <c r="P132" t="s">
        <v>35</v>
      </c>
      <c r="Q132">
        <v>1</v>
      </c>
      <c r="W132">
        <v>0</v>
      </c>
      <c r="X132">
        <v>-1397951900</v>
      </c>
      <c r="Y132">
        <v>0.18</v>
      </c>
      <c r="AA132">
        <v>1436.5</v>
      </c>
      <c r="AB132">
        <v>0</v>
      </c>
      <c r="AC132">
        <v>0</v>
      </c>
      <c r="AD132">
        <v>0</v>
      </c>
      <c r="AE132">
        <v>1436.5</v>
      </c>
      <c r="AF132">
        <v>0</v>
      </c>
      <c r="AG132">
        <v>0</v>
      </c>
      <c r="AH132">
        <v>0</v>
      </c>
      <c r="AI132">
        <v>1</v>
      </c>
      <c r="AJ132">
        <v>1</v>
      </c>
      <c r="AK132">
        <v>1</v>
      </c>
      <c r="AL132">
        <v>1</v>
      </c>
      <c r="AN132">
        <v>0</v>
      </c>
      <c r="AO132">
        <v>1</v>
      </c>
      <c r="AP132">
        <v>0</v>
      </c>
      <c r="AQ132">
        <v>0</v>
      </c>
      <c r="AR132">
        <v>0</v>
      </c>
      <c r="AS132" t="s">
        <v>3</v>
      </c>
      <c r="AT132">
        <v>0.18</v>
      </c>
      <c r="AU132" t="s">
        <v>3</v>
      </c>
      <c r="AV132">
        <v>0</v>
      </c>
      <c r="AW132">
        <v>2</v>
      </c>
      <c r="AX132">
        <v>38800234</v>
      </c>
      <c r="AY132">
        <v>1</v>
      </c>
      <c r="AZ132">
        <v>0</v>
      </c>
      <c r="BA132">
        <v>128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CX132">
        <f>Y132*Source!I204</f>
        <v>8.1810000000000009</v>
      </c>
      <c r="CY132">
        <f>AA132</f>
        <v>1436.5</v>
      </c>
      <c r="CZ132">
        <f>AE132</f>
        <v>1436.5</v>
      </c>
      <c r="DA132">
        <f>AI132</f>
        <v>1</v>
      </c>
      <c r="DB132">
        <f t="shared" si="14"/>
        <v>258.57</v>
      </c>
      <c r="DC132">
        <f t="shared" si="15"/>
        <v>0</v>
      </c>
    </row>
    <row r="133" spans="1:107" x14ac:dyDescent="0.2">
      <c r="A133">
        <f>ROW(Source!A204)</f>
        <v>204</v>
      </c>
      <c r="B133">
        <v>38799519</v>
      </c>
      <c r="C133">
        <v>38800224</v>
      </c>
      <c r="D133">
        <v>38466380</v>
      </c>
      <c r="E133">
        <v>1</v>
      </c>
      <c r="F133">
        <v>1</v>
      </c>
      <c r="G133">
        <v>27</v>
      </c>
      <c r="H133">
        <v>3</v>
      </c>
      <c r="I133" t="s">
        <v>435</v>
      </c>
      <c r="J133" t="s">
        <v>436</v>
      </c>
      <c r="K133" t="s">
        <v>437</v>
      </c>
      <c r="L133">
        <v>1339</v>
      </c>
      <c r="N133">
        <v>1007</v>
      </c>
      <c r="O133" t="s">
        <v>35</v>
      </c>
      <c r="P133" t="s">
        <v>35</v>
      </c>
      <c r="Q133">
        <v>1</v>
      </c>
      <c r="W133">
        <v>0</v>
      </c>
      <c r="X133">
        <v>1126927627</v>
      </c>
      <c r="Y133">
        <v>0.09</v>
      </c>
      <c r="AA133">
        <v>1436.5</v>
      </c>
      <c r="AB133">
        <v>0</v>
      </c>
      <c r="AC133">
        <v>0</v>
      </c>
      <c r="AD133">
        <v>0</v>
      </c>
      <c r="AE133">
        <v>1436.5</v>
      </c>
      <c r="AF133">
        <v>0</v>
      </c>
      <c r="AG133">
        <v>0</v>
      </c>
      <c r="AH133">
        <v>0</v>
      </c>
      <c r="AI133">
        <v>1</v>
      </c>
      <c r="AJ133">
        <v>1</v>
      </c>
      <c r="AK133">
        <v>1</v>
      </c>
      <c r="AL133">
        <v>1</v>
      </c>
      <c r="AN133">
        <v>0</v>
      </c>
      <c r="AO133">
        <v>1</v>
      </c>
      <c r="AP133">
        <v>0</v>
      </c>
      <c r="AQ133">
        <v>0</v>
      </c>
      <c r="AR133">
        <v>0</v>
      </c>
      <c r="AS133" t="s">
        <v>3</v>
      </c>
      <c r="AT133">
        <v>0.09</v>
      </c>
      <c r="AU133" t="s">
        <v>3</v>
      </c>
      <c r="AV133">
        <v>0</v>
      </c>
      <c r="AW133">
        <v>2</v>
      </c>
      <c r="AX133">
        <v>38800235</v>
      </c>
      <c r="AY133">
        <v>1</v>
      </c>
      <c r="AZ133">
        <v>0</v>
      </c>
      <c r="BA133">
        <v>129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CX133">
        <f>Y133*Source!I204</f>
        <v>4.0905000000000005</v>
      </c>
      <c r="CY133">
        <f>AA133</f>
        <v>1436.5</v>
      </c>
      <c r="CZ133">
        <f>AE133</f>
        <v>1436.5</v>
      </c>
      <c r="DA133">
        <f>AI133</f>
        <v>1</v>
      </c>
      <c r="DB133">
        <f t="shared" si="14"/>
        <v>129.29</v>
      </c>
      <c r="DC133">
        <f t="shared" si="15"/>
        <v>0</v>
      </c>
    </row>
    <row r="134" spans="1:107" x14ac:dyDescent="0.2">
      <c r="A134">
        <f>ROW(Source!A204)</f>
        <v>204</v>
      </c>
      <c r="B134">
        <v>38799519</v>
      </c>
      <c r="C134">
        <v>38800224</v>
      </c>
      <c r="D134">
        <v>38466382</v>
      </c>
      <c r="E134">
        <v>1</v>
      </c>
      <c r="F134">
        <v>1</v>
      </c>
      <c r="G134">
        <v>27</v>
      </c>
      <c r="H134">
        <v>3</v>
      </c>
      <c r="I134" t="s">
        <v>438</v>
      </c>
      <c r="J134" t="s">
        <v>439</v>
      </c>
      <c r="K134" t="s">
        <v>440</v>
      </c>
      <c r="L134">
        <v>1339</v>
      </c>
      <c r="N134">
        <v>1007</v>
      </c>
      <c r="O134" t="s">
        <v>35</v>
      </c>
      <c r="P134" t="s">
        <v>35</v>
      </c>
      <c r="Q134">
        <v>1</v>
      </c>
      <c r="W134">
        <v>0</v>
      </c>
      <c r="X134">
        <v>2054449869</v>
      </c>
      <c r="Y134">
        <v>1</v>
      </c>
      <c r="AA134">
        <v>1241</v>
      </c>
      <c r="AB134">
        <v>0</v>
      </c>
      <c r="AC134">
        <v>0</v>
      </c>
      <c r="AD134">
        <v>0</v>
      </c>
      <c r="AE134">
        <v>1241</v>
      </c>
      <c r="AF134">
        <v>0</v>
      </c>
      <c r="AG134">
        <v>0</v>
      </c>
      <c r="AH134">
        <v>0</v>
      </c>
      <c r="AI134">
        <v>1</v>
      </c>
      <c r="AJ134">
        <v>1</v>
      </c>
      <c r="AK134">
        <v>1</v>
      </c>
      <c r="AL134">
        <v>1</v>
      </c>
      <c r="AN134">
        <v>0</v>
      </c>
      <c r="AO134">
        <v>1</v>
      </c>
      <c r="AP134">
        <v>0</v>
      </c>
      <c r="AQ134">
        <v>0</v>
      </c>
      <c r="AR134">
        <v>0</v>
      </c>
      <c r="AS134" t="s">
        <v>3</v>
      </c>
      <c r="AT134">
        <v>1</v>
      </c>
      <c r="AU134" t="s">
        <v>3</v>
      </c>
      <c r="AV134">
        <v>0</v>
      </c>
      <c r="AW134">
        <v>2</v>
      </c>
      <c r="AX134">
        <v>38800236</v>
      </c>
      <c r="AY134">
        <v>1</v>
      </c>
      <c r="AZ134">
        <v>0</v>
      </c>
      <c r="BA134">
        <v>130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CX134">
        <f>Y134*Source!I204</f>
        <v>45.45</v>
      </c>
      <c r="CY134">
        <f>AA134</f>
        <v>1241</v>
      </c>
      <c r="CZ134">
        <f>AE134</f>
        <v>1241</v>
      </c>
      <c r="DA134">
        <f>AI134</f>
        <v>1</v>
      </c>
      <c r="DB134">
        <f t="shared" si="14"/>
        <v>1241</v>
      </c>
      <c r="DC134">
        <f t="shared" si="15"/>
        <v>0</v>
      </c>
    </row>
    <row r="135" spans="1:107" x14ac:dyDescent="0.2">
      <c r="A135">
        <f>ROW(Source!A205)</f>
        <v>205</v>
      </c>
      <c r="B135">
        <v>38799519</v>
      </c>
      <c r="C135">
        <v>38800237</v>
      </c>
      <c r="D135">
        <v>38451941</v>
      </c>
      <c r="E135">
        <v>27</v>
      </c>
      <c r="F135">
        <v>1</v>
      </c>
      <c r="G135">
        <v>27</v>
      </c>
      <c r="H135">
        <v>1</v>
      </c>
      <c r="I135" t="s">
        <v>387</v>
      </c>
      <c r="J135" t="s">
        <v>3</v>
      </c>
      <c r="K135" t="s">
        <v>388</v>
      </c>
      <c r="L135">
        <v>1191</v>
      </c>
      <c r="N135">
        <v>1013</v>
      </c>
      <c r="O135" t="s">
        <v>389</v>
      </c>
      <c r="P135" t="s">
        <v>389</v>
      </c>
      <c r="Q135">
        <v>1</v>
      </c>
      <c r="W135">
        <v>0</v>
      </c>
      <c r="X135">
        <v>476480486</v>
      </c>
      <c r="Y135">
        <v>16.440000000000001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1</v>
      </c>
      <c r="AJ135">
        <v>1</v>
      </c>
      <c r="AK135">
        <v>1</v>
      </c>
      <c r="AL135">
        <v>1</v>
      </c>
      <c r="AN135">
        <v>0</v>
      </c>
      <c r="AO135">
        <v>1</v>
      </c>
      <c r="AP135">
        <v>0</v>
      </c>
      <c r="AQ135">
        <v>0</v>
      </c>
      <c r="AR135">
        <v>0</v>
      </c>
      <c r="AS135" t="s">
        <v>3</v>
      </c>
      <c r="AT135">
        <v>16.440000000000001</v>
      </c>
      <c r="AU135" t="s">
        <v>3</v>
      </c>
      <c r="AV135">
        <v>1</v>
      </c>
      <c r="AW135">
        <v>2</v>
      </c>
      <c r="AX135">
        <v>38800245</v>
      </c>
      <c r="AY135">
        <v>1</v>
      </c>
      <c r="AZ135">
        <v>0</v>
      </c>
      <c r="BA135">
        <v>131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CX135">
        <f>Y135*Source!I205</f>
        <v>49.813200000000002</v>
      </c>
      <c r="CY135">
        <f>AD135</f>
        <v>0</v>
      </c>
      <c r="CZ135">
        <f>AH135</f>
        <v>0</v>
      </c>
      <c r="DA135">
        <f>AL135</f>
        <v>1</v>
      </c>
      <c r="DB135">
        <f t="shared" si="14"/>
        <v>0</v>
      </c>
      <c r="DC135">
        <f t="shared" si="15"/>
        <v>0</v>
      </c>
    </row>
    <row r="136" spans="1:107" x14ac:dyDescent="0.2">
      <c r="A136">
        <f>ROW(Source!A205)</f>
        <v>205</v>
      </c>
      <c r="B136">
        <v>38799519</v>
      </c>
      <c r="C136">
        <v>38800237</v>
      </c>
      <c r="D136">
        <v>38464567</v>
      </c>
      <c r="E136">
        <v>1</v>
      </c>
      <c r="F136">
        <v>1</v>
      </c>
      <c r="G136">
        <v>27</v>
      </c>
      <c r="H136">
        <v>2</v>
      </c>
      <c r="I136" t="s">
        <v>412</v>
      </c>
      <c r="J136" t="s">
        <v>413</v>
      </c>
      <c r="K136" t="s">
        <v>414</v>
      </c>
      <c r="L136">
        <v>1368</v>
      </c>
      <c r="N136">
        <v>1011</v>
      </c>
      <c r="O136" t="s">
        <v>393</v>
      </c>
      <c r="P136" t="s">
        <v>393</v>
      </c>
      <c r="Q136">
        <v>1</v>
      </c>
      <c r="W136">
        <v>0</v>
      </c>
      <c r="X136">
        <v>734322642</v>
      </c>
      <c r="Y136">
        <v>0.55000000000000004</v>
      </c>
      <c r="AA136">
        <v>0</v>
      </c>
      <c r="AB136">
        <v>744.2</v>
      </c>
      <c r="AC136">
        <v>423.17</v>
      </c>
      <c r="AD136">
        <v>0</v>
      </c>
      <c r="AE136">
        <v>0</v>
      </c>
      <c r="AF136">
        <v>744.2</v>
      </c>
      <c r="AG136">
        <v>423.17</v>
      </c>
      <c r="AH136">
        <v>0</v>
      </c>
      <c r="AI136">
        <v>1</v>
      </c>
      <c r="AJ136">
        <v>1</v>
      </c>
      <c r="AK136">
        <v>1</v>
      </c>
      <c r="AL136">
        <v>1</v>
      </c>
      <c r="AN136">
        <v>0</v>
      </c>
      <c r="AO136">
        <v>1</v>
      </c>
      <c r="AP136">
        <v>0</v>
      </c>
      <c r="AQ136">
        <v>0</v>
      </c>
      <c r="AR136">
        <v>0</v>
      </c>
      <c r="AS136" t="s">
        <v>3</v>
      </c>
      <c r="AT136">
        <v>0.55000000000000004</v>
      </c>
      <c r="AU136" t="s">
        <v>3</v>
      </c>
      <c r="AV136">
        <v>0</v>
      </c>
      <c r="AW136">
        <v>2</v>
      </c>
      <c r="AX136">
        <v>38800246</v>
      </c>
      <c r="AY136">
        <v>1</v>
      </c>
      <c r="AZ136">
        <v>0</v>
      </c>
      <c r="BA136">
        <v>132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CX136">
        <f>Y136*Source!I205</f>
        <v>1.6665000000000001</v>
      </c>
      <c r="CY136">
        <f>AB136</f>
        <v>744.2</v>
      </c>
      <c r="CZ136">
        <f>AF136</f>
        <v>744.2</v>
      </c>
      <c r="DA136">
        <f>AJ136</f>
        <v>1</v>
      </c>
      <c r="DB136">
        <f t="shared" si="14"/>
        <v>409.31</v>
      </c>
      <c r="DC136">
        <f t="shared" si="15"/>
        <v>232.74</v>
      </c>
    </row>
    <row r="137" spans="1:107" x14ac:dyDescent="0.2">
      <c r="A137">
        <f>ROW(Source!A205)</f>
        <v>205</v>
      </c>
      <c r="B137">
        <v>38799519</v>
      </c>
      <c r="C137">
        <v>38800237</v>
      </c>
      <c r="D137">
        <v>38464689</v>
      </c>
      <c r="E137">
        <v>1</v>
      </c>
      <c r="F137">
        <v>1</v>
      </c>
      <c r="G137">
        <v>27</v>
      </c>
      <c r="H137">
        <v>2</v>
      </c>
      <c r="I137" t="s">
        <v>441</v>
      </c>
      <c r="J137" t="s">
        <v>442</v>
      </c>
      <c r="K137" t="s">
        <v>443</v>
      </c>
      <c r="L137">
        <v>1368</v>
      </c>
      <c r="N137">
        <v>1011</v>
      </c>
      <c r="O137" t="s">
        <v>393</v>
      </c>
      <c r="P137" t="s">
        <v>393</v>
      </c>
      <c r="Q137">
        <v>1</v>
      </c>
      <c r="W137">
        <v>0</v>
      </c>
      <c r="X137">
        <v>831329057</v>
      </c>
      <c r="Y137">
        <v>0.81</v>
      </c>
      <c r="AA137">
        <v>0</v>
      </c>
      <c r="AB137">
        <v>1977.07</v>
      </c>
      <c r="AC137">
        <v>1200.6500000000001</v>
      </c>
      <c r="AD137">
        <v>0</v>
      </c>
      <c r="AE137">
        <v>0</v>
      </c>
      <c r="AF137">
        <v>1977.07</v>
      </c>
      <c r="AG137">
        <v>1200.6500000000001</v>
      </c>
      <c r="AH137">
        <v>0</v>
      </c>
      <c r="AI137">
        <v>1</v>
      </c>
      <c r="AJ137">
        <v>1</v>
      </c>
      <c r="AK137">
        <v>1</v>
      </c>
      <c r="AL137">
        <v>1</v>
      </c>
      <c r="AN137">
        <v>0</v>
      </c>
      <c r="AO137">
        <v>1</v>
      </c>
      <c r="AP137">
        <v>0</v>
      </c>
      <c r="AQ137">
        <v>0</v>
      </c>
      <c r="AR137">
        <v>0</v>
      </c>
      <c r="AS137" t="s">
        <v>3</v>
      </c>
      <c r="AT137">
        <v>0.81</v>
      </c>
      <c r="AU137" t="s">
        <v>3</v>
      </c>
      <c r="AV137">
        <v>0</v>
      </c>
      <c r="AW137">
        <v>2</v>
      </c>
      <c r="AX137">
        <v>38800247</v>
      </c>
      <c r="AY137">
        <v>1</v>
      </c>
      <c r="AZ137">
        <v>0</v>
      </c>
      <c r="BA137">
        <v>133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CX137">
        <f>Y137*Source!I205</f>
        <v>2.4542999999999999</v>
      </c>
      <c r="CY137">
        <f>AB137</f>
        <v>1977.07</v>
      </c>
      <c r="CZ137">
        <f>AF137</f>
        <v>1977.07</v>
      </c>
      <c r="DA137">
        <f>AJ137</f>
        <v>1</v>
      </c>
      <c r="DB137">
        <f t="shared" si="14"/>
        <v>1601.43</v>
      </c>
      <c r="DC137">
        <f t="shared" si="15"/>
        <v>972.53</v>
      </c>
    </row>
    <row r="138" spans="1:107" x14ac:dyDescent="0.2">
      <c r="A138">
        <f>ROW(Source!A205)</f>
        <v>205</v>
      </c>
      <c r="B138">
        <v>38799519</v>
      </c>
      <c r="C138">
        <v>38800237</v>
      </c>
      <c r="D138">
        <v>38465034</v>
      </c>
      <c r="E138">
        <v>1</v>
      </c>
      <c r="F138">
        <v>1</v>
      </c>
      <c r="G138">
        <v>27</v>
      </c>
      <c r="H138">
        <v>2</v>
      </c>
      <c r="I138" t="s">
        <v>420</v>
      </c>
      <c r="J138" t="s">
        <v>421</v>
      </c>
      <c r="K138" t="s">
        <v>422</v>
      </c>
      <c r="L138">
        <v>1368</v>
      </c>
      <c r="N138">
        <v>1011</v>
      </c>
      <c r="O138" t="s">
        <v>393</v>
      </c>
      <c r="P138" t="s">
        <v>393</v>
      </c>
      <c r="Q138">
        <v>1</v>
      </c>
      <c r="W138">
        <v>0</v>
      </c>
      <c r="X138">
        <v>-1383996176</v>
      </c>
      <c r="Y138">
        <v>1.08</v>
      </c>
      <c r="AA138">
        <v>0</v>
      </c>
      <c r="AB138">
        <v>3.75</v>
      </c>
      <c r="AC138">
        <v>2.56</v>
      </c>
      <c r="AD138">
        <v>0</v>
      </c>
      <c r="AE138">
        <v>0</v>
      </c>
      <c r="AF138">
        <v>3.75</v>
      </c>
      <c r="AG138">
        <v>2.56</v>
      </c>
      <c r="AH138">
        <v>0</v>
      </c>
      <c r="AI138">
        <v>1</v>
      </c>
      <c r="AJ138">
        <v>1</v>
      </c>
      <c r="AK138">
        <v>1</v>
      </c>
      <c r="AL138">
        <v>1</v>
      </c>
      <c r="AN138">
        <v>0</v>
      </c>
      <c r="AO138">
        <v>1</v>
      </c>
      <c r="AP138">
        <v>0</v>
      </c>
      <c r="AQ138">
        <v>0</v>
      </c>
      <c r="AR138">
        <v>0</v>
      </c>
      <c r="AS138" t="s">
        <v>3</v>
      </c>
      <c r="AT138">
        <v>1.08</v>
      </c>
      <c r="AU138" t="s">
        <v>3</v>
      </c>
      <c r="AV138">
        <v>0</v>
      </c>
      <c r="AW138">
        <v>2</v>
      </c>
      <c r="AX138">
        <v>38800248</v>
      </c>
      <c r="AY138">
        <v>1</v>
      </c>
      <c r="AZ138">
        <v>0</v>
      </c>
      <c r="BA138">
        <v>134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CX138">
        <f>Y138*Source!I205</f>
        <v>3.2724000000000002</v>
      </c>
      <c r="CY138">
        <f>AB138</f>
        <v>3.75</v>
      </c>
      <c r="CZ138">
        <f>AF138</f>
        <v>3.75</v>
      </c>
      <c r="DA138">
        <f>AJ138</f>
        <v>1</v>
      </c>
      <c r="DB138">
        <f t="shared" si="14"/>
        <v>4.05</v>
      </c>
      <c r="DC138">
        <f t="shared" si="15"/>
        <v>2.76</v>
      </c>
    </row>
    <row r="139" spans="1:107" x14ac:dyDescent="0.2">
      <c r="A139">
        <f>ROW(Source!A205)</f>
        <v>205</v>
      </c>
      <c r="B139">
        <v>38799519</v>
      </c>
      <c r="C139">
        <v>38800237</v>
      </c>
      <c r="D139">
        <v>38465228</v>
      </c>
      <c r="E139">
        <v>1</v>
      </c>
      <c r="F139">
        <v>1</v>
      </c>
      <c r="G139">
        <v>27</v>
      </c>
      <c r="H139">
        <v>3</v>
      </c>
      <c r="I139" t="s">
        <v>444</v>
      </c>
      <c r="J139" t="s">
        <v>445</v>
      </c>
      <c r="K139" t="s">
        <v>446</v>
      </c>
      <c r="L139">
        <v>1348</v>
      </c>
      <c r="N139">
        <v>1009</v>
      </c>
      <c r="O139" t="s">
        <v>155</v>
      </c>
      <c r="P139" t="s">
        <v>155</v>
      </c>
      <c r="Q139">
        <v>1000</v>
      </c>
      <c r="W139">
        <v>0</v>
      </c>
      <c r="X139">
        <v>1123680579</v>
      </c>
      <c r="Y139">
        <v>6.9000000000000006E-2</v>
      </c>
      <c r="AA139">
        <v>36258.75</v>
      </c>
      <c r="AB139">
        <v>0</v>
      </c>
      <c r="AC139">
        <v>0</v>
      </c>
      <c r="AD139">
        <v>0</v>
      </c>
      <c r="AE139">
        <v>36258.75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N139">
        <v>0</v>
      </c>
      <c r="AO139">
        <v>1</v>
      </c>
      <c r="AP139">
        <v>0</v>
      </c>
      <c r="AQ139">
        <v>0</v>
      </c>
      <c r="AR139">
        <v>0</v>
      </c>
      <c r="AS139" t="s">
        <v>3</v>
      </c>
      <c r="AT139">
        <v>6.9000000000000006E-2</v>
      </c>
      <c r="AU139" t="s">
        <v>3</v>
      </c>
      <c r="AV139">
        <v>0</v>
      </c>
      <c r="AW139">
        <v>2</v>
      </c>
      <c r="AX139">
        <v>38800249</v>
      </c>
      <c r="AY139">
        <v>1</v>
      </c>
      <c r="AZ139">
        <v>0</v>
      </c>
      <c r="BA139">
        <v>135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CX139">
        <f>Y139*Source!I205</f>
        <v>0.20907000000000001</v>
      </c>
      <c r="CY139">
        <f>AA139</f>
        <v>36258.75</v>
      </c>
      <c r="CZ139">
        <f>AE139</f>
        <v>36258.75</v>
      </c>
      <c r="DA139">
        <f>AI139</f>
        <v>1</v>
      </c>
      <c r="DB139">
        <f t="shared" si="14"/>
        <v>2501.85</v>
      </c>
      <c r="DC139">
        <f t="shared" si="15"/>
        <v>0</v>
      </c>
    </row>
    <row r="140" spans="1:107" x14ac:dyDescent="0.2">
      <c r="A140">
        <f>ROW(Source!A205)</f>
        <v>205</v>
      </c>
      <c r="B140">
        <v>38799519</v>
      </c>
      <c r="C140">
        <v>38800237</v>
      </c>
      <c r="D140">
        <v>38465769</v>
      </c>
      <c r="E140">
        <v>1</v>
      </c>
      <c r="F140">
        <v>1</v>
      </c>
      <c r="G140">
        <v>27</v>
      </c>
      <c r="H140">
        <v>3</v>
      </c>
      <c r="I140" t="s">
        <v>447</v>
      </c>
      <c r="J140" t="s">
        <v>448</v>
      </c>
      <c r="K140" t="s">
        <v>449</v>
      </c>
      <c r="L140">
        <v>1339</v>
      </c>
      <c r="N140">
        <v>1007</v>
      </c>
      <c r="O140" t="s">
        <v>35</v>
      </c>
      <c r="P140" t="s">
        <v>35</v>
      </c>
      <c r="Q140">
        <v>1</v>
      </c>
      <c r="W140">
        <v>0</v>
      </c>
      <c r="X140">
        <v>-1674634845</v>
      </c>
      <c r="Y140">
        <v>0.01</v>
      </c>
      <c r="AA140">
        <v>7064.05</v>
      </c>
      <c r="AB140">
        <v>0</v>
      </c>
      <c r="AC140">
        <v>0</v>
      </c>
      <c r="AD140">
        <v>0</v>
      </c>
      <c r="AE140">
        <v>7064.05</v>
      </c>
      <c r="AF140">
        <v>0</v>
      </c>
      <c r="AG140">
        <v>0</v>
      </c>
      <c r="AH140">
        <v>0</v>
      </c>
      <c r="AI140">
        <v>1</v>
      </c>
      <c r="AJ140">
        <v>1</v>
      </c>
      <c r="AK140">
        <v>1</v>
      </c>
      <c r="AL140">
        <v>1</v>
      </c>
      <c r="AN140">
        <v>0</v>
      </c>
      <c r="AO140">
        <v>1</v>
      </c>
      <c r="AP140">
        <v>0</v>
      </c>
      <c r="AQ140">
        <v>0</v>
      </c>
      <c r="AR140">
        <v>0</v>
      </c>
      <c r="AS140" t="s">
        <v>3</v>
      </c>
      <c r="AT140">
        <v>0.01</v>
      </c>
      <c r="AU140" t="s">
        <v>3</v>
      </c>
      <c r="AV140">
        <v>0</v>
      </c>
      <c r="AW140">
        <v>2</v>
      </c>
      <c r="AX140">
        <v>38800250</v>
      </c>
      <c r="AY140">
        <v>1</v>
      </c>
      <c r="AZ140">
        <v>0</v>
      </c>
      <c r="BA140">
        <v>136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CX140">
        <f>Y140*Source!I205</f>
        <v>3.0299999999999997E-2</v>
      </c>
      <c r="CY140">
        <f>AA140</f>
        <v>7064.05</v>
      </c>
      <c r="CZ140">
        <f>AE140</f>
        <v>7064.05</v>
      </c>
      <c r="DA140">
        <f>AI140</f>
        <v>1</v>
      </c>
      <c r="DB140">
        <f t="shared" si="14"/>
        <v>70.64</v>
      </c>
      <c r="DC140">
        <f t="shared" si="15"/>
        <v>0</v>
      </c>
    </row>
    <row r="141" spans="1:107" x14ac:dyDescent="0.2">
      <c r="A141">
        <f>ROW(Source!A205)</f>
        <v>205</v>
      </c>
      <c r="B141">
        <v>38799519</v>
      </c>
      <c r="C141">
        <v>38800237</v>
      </c>
      <c r="D141">
        <v>38468294</v>
      </c>
      <c r="E141">
        <v>1</v>
      </c>
      <c r="F141">
        <v>1</v>
      </c>
      <c r="G141">
        <v>27</v>
      </c>
      <c r="H141">
        <v>3</v>
      </c>
      <c r="I141" t="s">
        <v>450</v>
      </c>
      <c r="J141" t="s">
        <v>451</v>
      </c>
      <c r="K141" t="s">
        <v>452</v>
      </c>
      <c r="L141">
        <v>1348</v>
      </c>
      <c r="N141">
        <v>1009</v>
      </c>
      <c r="O141" t="s">
        <v>155</v>
      </c>
      <c r="P141" t="s">
        <v>155</v>
      </c>
      <c r="Q141">
        <v>1000</v>
      </c>
      <c r="W141">
        <v>0</v>
      </c>
      <c r="X141">
        <v>1103439754</v>
      </c>
      <c r="Y141">
        <v>5.79</v>
      </c>
      <c r="AA141">
        <v>2562.79</v>
      </c>
      <c r="AB141">
        <v>0</v>
      </c>
      <c r="AC141">
        <v>0</v>
      </c>
      <c r="AD141">
        <v>0</v>
      </c>
      <c r="AE141">
        <v>2562.79</v>
      </c>
      <c r="AF141">
        <v>0</v>
      </c>
      <c r="AG141">
        <v>0</v>
      </c>
      <c r="AH141">
        <v>0</v>
      </c>
      <c r="AI141">
        <v>1</v>
      </c>
      <c r="AJ141">
        <v>1</v>
      </c>
      <c r="AK141">
        <v>1</v>
      </c>
      <c r="AL141">
        <v>1</v>
      </c>
      <c r="AN141">
        <v>0</v>
      </c>
      <c r="AO141">
        <v>1</v>
      </c>
      <c r="AP141">
        <v>0</v>
      </c>
      <c r="AQ141">
        <v>0</v>
      </c>
      <c r="AR141">
        <v>0</v>
      </c>
      <c r="AS141" t="s">
        <v>3</v>
      </c>
      <c r="AT141">
        <v>5.79</v>
      </c>
      <c r="AU141" t="s">
        <v>3</v>
      </c>
      <c r="AV141">
        <v>0</v>
      </c>
      <c r="AW141">
        <v>2</v>
      </c>
      <c r="AX141">
        <v>38800251</v>
      </c>
      <c r="AY141">
        <v>1</v>
      </c>
      <c r="AZ141">
        <v>0</v>
      </c>
      <c r="BA141">
        <v>137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CX141">
        <f>Y141*Source!I205</f>
        <v>17.543699999999998</v>
      </c>
      <c r="CY141">
        <f>AA141</f>
        <v>2562.79</v>
      </c>
      <c r="CZ141">
        <f>AE141</f>
        <v>2562.79</v>
      </c>
      <c r="DA141">
        <f>AI141</f>
        <v>1</v>
      </c>
      <c r="DB141">
        <f t="shared" si="14"/>
        <v>14838.55</v>
      </c>
      <c r="DC141">
        <f t="shared" si="15"/>
        <v>0</v>
      </c>
    </row>
    <row r="142" spans="1:107" x14ac:dyDescent="0.2">
      <c r="A142">
        <f>ROW(Source!A206)</f>
        <v>206</v>
      </c>
      <c r="B142">
        <v>38799519</v>
      </c>
      <c r="C142">
        <v>38800252</v>
      </c>
      <c r="D142">
        <v>38451941</v>
      </c>
      <c r="E142">
        <v>27</v>
      </c>
      <c r="F142">
        <v>1</v>
      </c>
      <c r="G142">
        <v>27</v>
      </c>
      <c r="H142">
        <v>1</v>
      </c>
      <c r="I142" t="s">
        <v>387</v>
      </c>
      <c r="J142" t="s">
        <v>3</v>
      </c>
      <c r="K142" t="s">
        <v>388</v>
      </c>
      <c r="L142">
        <v>1191</v>
      </c>
      <c r="N142">
        <v>1013</v>
      </c>
      <c r="O142" t="s">
        <v>389</v>
      </c>
      <c r="P142" t="s">
        <v>389</v>
      </c>
      <c r="Q142">
        <v>1</v>
      </c>
      <c r="W142">
        <v>0</v>
      </c>
      <c r="X142">
        <v>476480486</v>
      </c>
      <c r="Y142">
        <v>2.31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1</v>
      </c>
      <c r="AK142">
        <v>1</v>
      </c>
      <c r="AL142">
        <v>1</v>
      </c>
      <c r="AN142">
        <v>0</v>
      </c>
      <c r="AO142">
        <v>1</v>
      </c>
      <c r="AP142">
        <v>0</v>
      </c>
      <c r="AQ142">
        <v>0</v>
      </c>
      <c r="AR142">
        <v>0</v>
      </c>
      <c r="AS142" t="s">
        <v>3</v>
      </c>
      <c r="AT142">
        <v>2.31</v>
      </c>
      <c r="AU142" t="s">
        <v>3</v>
      </c>
      <c r="AV142">
        <v>1</v>
      </c>
      <c r="AW142">
        <v>2</v>
      </c>
      <c r="AX142">
        <v>38800257</v>
      </c>
      <c r="AY142">
        <v>1</v>
      </c>
      <c r="AZ142">
        <v>0</v>
      </c>
      <c r="BA142">
        <v>138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CX142">
        <f>Y142*Source!I206</f>
        <v>6.9992999999999999</v>
      </c>
      <c r="CY142">
        <f>AD142</f>
        <v>0</v>
      </c>
      <c r="CZ142">
        <f>AH142</f>
        <v>0</v>
      </c>
      <c r="DA142">
        <f>AL142</f>
        <v>1</v>
      </c>
      <c r="DB142">
        <f t="shared" si="14"/>
        <v>0</v>
      </c>
      <c r="DC142">
        <f t="shared" si="15"/>
        <v>0</v>
      </c>
    </row>
    <row r="143" spans="1:107" x14ac:dyDescent="0.2">
      <c r="A143">
        <f>ROW(Source!A206)</f>
        <v>206</v>
      </c>
      <c r="B143">
        <v>38799519</v>
      </c>
      <c r="C143">
        <v>38800252</v>
      </c>
      <c r="D143">
        <v>38464567</v>
      </c>
      <c r="E143">
        <v>1</v>
      </c>
      <c r="F143">
        <v>1</v>
      </c>
      <c r="G143">
        <v>27</v>
      </c>
      <c r="H143">
        <v>2</v>
      </c>
      <c r="I143" t="s">
        <v>412</v>
      </c>
      <c r="J143" t="s">
        <v>413</v>
      </c>
      <c r="K143" t="s">
        <v>414</v>
      </c>
      <c r="L143">
        <v>1368</v>
      </c>
      <c r="N143">
        <v>1011</v>
      </c>
      <c r="O143" t="s">
        <v>393</v>
      </c>
      <c r="P143" t="s">
        <v>393</v>
      </c>
      <c r="Q143">
        <v>1</v>
      </c>
      <c r="W143">
        <v>0</v>
      </c>
      <c r="X143">
        <v>734322642</v>
      </c>
      <c r="Y143">
        <v>0.14000000000000001</v>
      </c>
      <c r="AA143">
        <v>0</v>
      </c>
      <c r="AB143">
        <v>744.2</v>
      </c>
      <c r="AC143">
        <v>423.17</v>
      </c>
      <c r="AD143">
        <v>0</v>
      </c>
      <c r="AE143">
        <v>0</v>
      </c>
      <c r="AF143">
        <v>744.2</v>
      </c>
      <c r="AG143">
        <v>423.17</v>
      </c>
      <c r="AH143">
        <v>0</v>
      </c>
      <c r="AI143">
        <v>1</v>
      </c>
      <c r="AJ143">
        <v>1</v>
      </c>
      <c r="AK143">
        <v>1</v>
      </c>
      <c r="AL143">
        <v>1</v>
      </c>
      <c r="AN143">
        <v>0</v>
      </c>
      <c r="AO143">
        <v>1</v>
      </c>
      <c r="AP143">
        <v>0</v>
      </c>
      <c r="AQ143">
        <v>0</v>
      </c>
      <c r="AR143">
        <v>0</v>
      </c>
      <c r="AS143" t="s">
        <v>3</v>
      </c>
      <c r="AT143">
        <v>0.14000000000000001</v>
      </c>
      <c r="AU143" t="s">
        <v>3</v>
      </c>
      <c r="AV143">
        <v>0</v>
      </c>
      <c r="AW143">
        <v>2</v>
      </c>
      <c r="AX143">
        <v>38800258</v>
      </c>
      <c r="AY143">
        <v>1</v>
      </c>
      <c r="AZ143">
        <v>0</v>
      </c>
      <c r="BA143">
        <v>139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CX143">
        <f>Y143*Source!I206</f>
        <v>0.42420000000000002</v>
      </c>
      <c r="CY143">
        <f>AB143</f>
        <v>744.2</v>
      </c>
      <c r="CZ143">
        <f>AF143</f>
        <v>744.2</v>
      </c>
      <c r="DA143">
        <f>AJ143</f>
        <v>1</v>
      </c>
      <c r="DB143">
        <f t="shared" si="14"/>
        <v>104.19</v>
      </c>
      <c r="DC143">
        <f t="shared" si="15"/>
        <v>59.24</v>
      </c>
    </row>
    <row r="144" spans="1:107" x14ac:dyDescent="0.2">
      <c r="A144">
        <f>ROW(Source!A206)</f>
        <v>206</v>
      </c>
      <c r="B144">
        <v>38799519</v>
      </c>
      <c r="C144">
        <v>38800252</v>
      </c>
      <c r="D144">
        <v>38465034</v>
      </c>
      <c r="E144">
        <v>1</v>
      </c>
      <c r="F144">
        <v>1</v>
      </c>
      <c r="G144">
        <v>27</v>
      </c>
      <c r="H144">
        <v>2</v>
      </c>
      <c r="I144" t="s">
        <v>420</v>
      </c>
      <c r="J144" t="s">
        <v>421</v>
      </c>
      <c r="K144" t="s">
        <v>422</v>
      </c>
      <c r="L144">
        <v>1368</v>
      </c>
      <c r="N144">
        <v>1011</v>
      </c>
      <c r="O144" t="s">
        <v>393</v>
      </c>
      <c r="P144" t="s">
        <v>393</v>
      </c>
      <c r="Q144">
        <v>1</v>
      </c>
      <c r="W144">
        <v>0</v>
      </c>
      <c r="X144">
        <v>-1383996176</v>
      </c>
      <c r="Y144">
        <v>0.28000000000000003</v>
      </c>
      <c r="AA144">
        <v>0</v>
      </c>
      <c r="AB144">
        <v>3.75</v>
      </c>
      <c r="AC144">
        <v>2.56</v>
      </c>
      <c r="AD144">
        <v>0</v>
      </c>
      <c r="AE144">
        <v>0</v>
      </c>
      <c r="AF144">
        <v>3.75</v>
      </c>
      <c r="AG144">
        <v>2.56</v>
      </c>
      <c r="AH144">
        <v>0</v>
      </c>
      <c r="AI144">
        <v>1</v>
      </c>
      <c r="AJ144">
        <v>1</v>
      </c>
      <c r="AK144">
        <v>1</v>
      </c>
      <c r="AL144">
        <v>1</v>
      </c>
      <c r="AN144">
        <v>0</v>
      </c>
      <c r="AO144">
        <v>1</v>
      </c>
      <c r="AP144">
        <v>0</v>
      </c>
      <c r="AQ144">
        <v>0</v>
      </c>
      <c r="AR144">
        <v>0</v>
      </c>
      <c r="AS144" t="s">
        <v>3</v>
      </c>
      <c r="AT144">
        <v>0.28000000000000003</v>
      </c>
      <c r="AU144" t="s">
        <v>3</v>
      </c>
      <c r="AV144">
        <v>0</v>
      </c>
      <c r="AW144">
        <v>2</v>
      </c>
      <c r="AX144">
        <v>38800259</v>
      </c>
      <c r="AY144">
        <v>1</v>
      </c>
      <c r="AZ144">
        <v>0</v>
      </c>
      <c r="BA144">
        <v>140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CX144">
        <f>Y144*Source!I206</f>
        <v>0.84840000000000004</v>
      </c>
      <c r="CY144">
        <f>AB144</f>
        <v>3.75</v>
      </c>
      <c r="CZ144">
        <f>AF144</f>
        <v>3.75</v>
      </c>
      <c r="DA144">
        <f>AJ144</f>
        <v>1</v>
      </c>
      <c r="DB144">
        <f t="shared" si="14"/>
        <v>1.05</v>
      </c>
      <c r="DC144">
        <f t="shared" si="15"/>
        <v>0.72</v>
      </c>
    </row>
    <row r="145" spans="1:107" x14ac:dyDescent="0.2">
      <c r="A145">
        <f>ROW(Source!A206)</f>
        <v>206</v>
      </c>
      <c r="B145">
        <v>38799519</v>
      </c>
      <c r="C145">
        <v>38800252</v>
      </c>
      <c r="D145">
        <v>38468294</v>
      </c>
      <c r="E145">
        <v>1</v>
      </c>
      <c r="F145">
        <v>1</v>
      </c>
      <c r="G145">
        <v>27</v>
      </c>
      <c r="H145">
        <v>3</v>
      </c>
      <c r="I145" t="s">
        <v>450</v>
      </c>
      <c r="J145" t="s">
        <v>451</v>
      </c>
      <c r="K145" t="s">
        <v>452</v>
      </c>
      <c r="L145">
        <v>1348</v>
      </c>
      <c r="N145">
        <v>1009</v>
      </c>
      <c r="O145" t="s">
        <v>155</v>
      </c>
      <c r="P145" t="s">
        <v>155</v>
      </c>
      <c r="Q145">
        <v>1000</v>
      </c>
      <c r="W145">
        <v>0</v>
      </c>
      <c r="X145">
        <v>1103439754</v>
      </c>
      <c r="Y145">
        <v>1.1599999999999999</v>
      </c>
      <c r="AA145">
        <v>2562.79</v>
      </c>
      <c r="AB145">
        <v>0</v>
      </c>
      <c r="AC145">
        <v>0</v>
      </c>
      <c r="AD145">
        <v>0</v>
      </c>
      <c r="AE145">
        <v>2562.79</v>
      </c>
      <c r="AF145">
        <v>0</v>
      </c>
      <c r="AG145">
        <v>0</v>
      </c>
      <c r="AH145">
        <v>0</v>
      </c>
      <c r="AI145">
        <v>1</v>
      </c>
      <c r="AJ145">
        <v>1</v>
      </c>
      <c r="AK145">
        <v>1</v>
      </c>
      <c r="AL145">
        <v>1</v>
      </c>
      <c r="AN145">
        <v>0</v>
      </c>
      <c r="AO145">
        <v>1</v>
      </c>
      <c r="AP145">
        <v>0</v>
      </c>
      <c r="AQ145">
        <v>0</v>
      </c>
      <c r="AR145">
        <v>0</v>
      </c>
      <c r="AS145" t="s">
        <v>3</v>
      </c>
      <c r="AT145">
        <v>1.1599999999999999</v>
      </c>
      <c r="AU145" t="s">
        <v>3</v>
      </c>
      <c r="AV145">
        <v>0</v>
      </c>
      <c r="AW145">
        <v>2</v>
      </c>
      <c r="AX145">
        <v>38800260</v>
      </c>
      <c r="AY145">
        <v>1</v>
      </c>
      <c r="AZ145">
        <v>0</v>
      </c>
      <c r="BA145">
        <v>141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CX145">
        <f>Y145*Source!I206</f>
        <v>3.5147999999999997</v>
      </c>
      <c r="CY145">
        <f>AA145</f>
        <v>2562.79</v>
      </c>
      <c r="CZ145">
        <f>AE145</f>
        <v>2562.79</v>
      </c>
      <c r="DA145">
        <f>AI145</f>
        <v>1</v>
      </c>
      <c r="DB145">
        <f t="shared" si="14"/>
        <v>2972.84</v>
      </c>
      <c r="DC145">
        <f t="shared" si="15"/>
        <v>0</v>
      </c>
    </row>
    <row r="146" spans="1:107" x14ac:dyDescent="0.2">
      <c r="A146">
        <f>ROW(Source!A207)</f>
        <v>207</v>
      </c>
      <c r="B146">
        <v>38799519</v>
      </c>
      <c r="C146">
        <v>38800261</v>
      </c>
      <c r="D146">
        <v>38451941</v>
      </c>
      <c r="E146">
        <v>27</v>
      </c>
      <c r="F146">
        <v>1</v>
      </c>
      <c r="G146">
        <v>27</v>
      </c>
      <c r="H146">
        <v>1</v>
      </c>
      <c r="I146" t="s">
        <v>387</v>
      </c>
      <c r="J146" t="s">
        <v>3</v>
      </c>
      <c r="K146" t="s">
        <v>388</v>
      </c>
      <c r="L146">
        <v>1191</v>
      </c>
      <c r="N146">
        <v>1013</v>
      </c>
      <c r="O146" t="s">
        <v>389</v>
      </c>
      <c r="P146" t="s">
        <v>389</v>
      </c>
      <c r="Q146">
        <v>1</v>
      </c>
      <c r="W146">
        <v>0</v>
      </c>
      <c r="X146">
        <v>476480486</v>
      </c>
      <c r="Y146">
        <v>18.440000000000001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</v>
      </c>
      <c r="AJ146">
        <v>1</v>
      </c>
      <c r="AK146">
        <v>1</v>
      </c>
      <c r="AL146">
        <v>1</v>
      </c>
      <c r="AN146">
        <v>0</v>
      </c>
      <c r="AO146">
        <v>1</v>
      </c>
      <c r="AP146">
        <v>0</v>
      </c>
      <c r="AQ146">
        <v>0</v>
      </c>
      <c r="AR146">
        <v>0</v>
      </c>
      <c r="AS146" t="s">
        <v>3</v>
      </c>
      <c r="AT146">
        <v>18.440000000000001</v>
      </c>
      <c r="AU146" t="s">
        <v>3</v>
      </c>
      <c r="AV146">
        <v>1</v>
      </c>
      <c r="AW146">
        <v>2</v>
      </c>
      <c r="AX146">
        <v>38800272</v>
      </c>
      <c r="AY146">
        <v>1</v>
      </c>
      <c r="AZ146">
        <v>0</v>
      </c>
      <c r="BA146">
        <v>142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CX146">
        <f>Y146*Source!I207</f>
        <v>55.873199999999997</v>
      </c>
      <c r="CY146">
        <f>AD146</f>
        <v>0</v>
      </c>
      <c r="CZ146">
        <f>AH146</f>
        <v>0</v>
      </c>
      <c r="DA146">
        <f>AL146</f>
        <v>1</v>
      </c>
      <c r="DB146">
        <f t="shared" si="14"/>
        <v>0</v>
      </c>
      <c r="DC146">
        <f t="shared" si="15"/>
        <v>0</v>
      </c>
    </row>
    <row r="147" spans="1:107" x14ac:dyDescent="0.2">
      <c r="A147">
        <f>ROW(Source!A207)</f>
        <v>207</v>
      </c>
      <c r="B147">
        <v>38799519</v>
      </c>
      <c r="C147">
        <v>38800261</v>
      </c>
      <c r="D147">
        <v>38464899</v>
      </c>
      <c r="E147">
        <v>1</v>
      </c>
      <c r="F147">
        <v>1</v>
      </c>
      <c r="G147">
        <v>27</v>
      </c>
      <c r="H147">
        <v>2</v>
      </c>
      <c r="I147" t="s">
        <v>453</v>
      </c>
      <c r="J147" t="s">
        <v>454</v>
      </c>
      <c r="K147" t="s">
        <v>455</v>
      </c>
      <c r="L147">
        <v>1368</v>
      </c>
      <c r="N147">
        <v>1011</v>
      </c>
      <c r="O147" t="s">
        <v>393</v>
      </c>
      <c r="P147" t="s">
        <v>393</v>
      </c>
      <c r="Q147">
        <v>1</v>
      </c>
      <c r="W147">
        <v>0</v>
      </c>
      <c r="X147">
        <v>2028281919</v>
      </c>
      <c r="Y147">
        <v>2.64</v>
      </c>
      <c r="AA147">
        <v>0</v>
      </c>
      <c r="AB147">
        <v>531.41</v>
      </c>
      <c r="AC147">
        <v>373.56</v>
      </c>
      <c r="AD147">
        <v>0</v>
      </c>
      <c r="AE147">
        <v>0</v>
      </c>
      <c r="AF147">
        <v>531.41</v>
      </c>
      <c r="AG147">
        <v>373.56</v>
      </c>
      <c r="AH147">
        <v>0</v>
      </c>
      <c r="AI147">
        <v>1</v>
      </c>
      <c r="AJ147">
        <v>1</v>
      </c>
      <c r="AK147">
        <v>1</v>
      </c>
      <c r="AL147">
        <v>1</v>
      </c>
      <c r="AN147">
        <v>0</v>
      </c>
      <c r="AO147">
        <v>1</v>
      </c>
      <c r="AP147">
        <v>0</v>
      </c>
      <c r="AQ147">
        <v>0</v>
      </c>
      <c r="AR147">
        <v>0</v>
      </c>
      <c r="AS147" t="s">
        <v>3</v>
      </c>
      <c r="AT147">
        <v>2.64</v>
      </c>
      <c r="AU147" t="s">
        <v>3</v>
      </c>
      <c r="AV147">
        <v>0</v>
      </c>
      <c r="AW147">
        <v>2</v>
      </c>
      <c r="AX147">
        <v>38800273</v>
      </c>
      <c r="AY147">
        <v>1</v>
      </c>
      <c r="AZ147">
        <v>0</v>
      </c>
      <c r="BA147">
        <v>143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CX147">
        <f>Y147*Source!I207</f>
        <v>7.9992000000000001</v>
      </c>
      <c r="CY147">
        <f>AB147</f>
        <v>531.41</v>
      </c>
      <c r="CZ147">
        <f>AF147</f>
        <v>531.41</v>
      </c>
      <c r="DA147">
        <f>AJ147</f>
        <v>1</v>
      </c>
      <c r="DB147">
        <f t="shared" si="14"/>
        <v>1402.92</v>
      </c>
      <c r="DC147">
        <f t="shared" si="15"/>
        <v>986.2</v>
      </c>
    </row>
    <row r="148" spans="1:107" x14ac:dyDescent="0.2">
      <c r="A148">
        <f>ROW(Source!A207)</f>
        <v>207</v>
      </c>
      <c r="B148">
        <v>38799519</v>
      </c>
      <c r="C148">
        <v>38800261</v>
      </c>
      <c r="D148">
        <v>38465122</v>
      </c>
      <c r="E148">
        <v>1</v>
      </c>
      <c r="F148">
        <v>1</v>
      </c>
      <c r="G148">
        <v>27</v>
      </c>
      <c r="H148">
        <v>2</v>
      </c>
      <c r="I148" t="s">
        <v>456</v>
      </c>
      <c r="J148" t="s">
        <v>457</v>
      </c>
      <c r="K148" t="s">
        <v>458</v>
      </c>
      <c r="L148">
        <v>1368</v>
      </c>
      <c r="N148">
        <v>1011</v>
      </c>
      <c r="O148" t="s">
        <v>393</v>
      </c>
      <c r="P148" t="s">
        <v>393</v>
      </c>
      <c r="Q148">
        <v>1</v>
      </c>
      <c r="W148">
        <v>0</v>
      </c>
      <c r="X148">
        <v>-1222982568</v>
      </c>
      <c r="Y148">
        <v>1.18</v>
      </c>
      <c r="AA148">
        <v>0</v>
      </c>
      <c r="AB148">
        <v>7.44</v>
      </c>
      <c r="AC148">
        <v>0.98</v>
      </c>
      <c r="AD148">
        <v>0</v>
      </c>
      <c r="AE148">
        <v>0</v>
      </c>
      <c r="AF148">
        <v>7.44</v>
      </c>
      <c r="AG148">
        <v>0.98</v>
      </c>
      <c r="AH148">
        <v>0</v>
      </c>
      <c r="AI148">
        <v>1</v>
      </c>
      <c r="AJ148">
        <v>1</v>
      </c>
      <c r="AK148">
        <v>1</v>
      </c>
      <c r="AL148">
        <v>1</v>
      </c>
      <c r="AN148">
        <v>0</v>
      </c>
      <c r="AO148">
        <v>1</v>
      </c>
      <c r="AP148">
        <v>0</v>
      </c>
      <c r="AQ148">
        <v>0</v>
      </c>
      <c r="AR148">
        <v>0</v>
      </c>
      <c r="AS148" t="s">
        <v>3</v>
      </c>
      <c r="AT148">
        <v>1.18</v>
      </c>
      <c r="AU148" t="s">
        <v>3</v>
      </c>
      <c r="AV148">
        <v>0</v>
      </c>
      <c r="AW148">
        <v>2</v>
      </c>
      <c r="AX148">
        <v>38800274</v>
      </c>
      <c r="AY148">
        <v>1</v>
      </c>
      <c r="AZ148">
        <v>0</v>
      </c>
      <c r="BA148">
        <v>144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CX148">
        <f>Y148*Source!I207</f>
        <v>3.5753999999999997</v>
      </c>
      <c r="CY148">
        <f>AB148</f>
        <v>7.44</v>
      </c>
      <c r="CZ148">
        <f>AF148</f>
        <v>7.44</v>
      </c>
      <c r="DA148">
        <f>AJ148</f>
        <v>1</v>
      </c>
      <c r="DB148">
        <f t="shared" si="14"/>
        <v>8.7799999999999994</v>
      </c>
      <c r="DC148">
        <f t="shared" si="15"/>
        <v>1.1599999999999999</v>
      </c>
    </row>
    <row r="149" spans="1:107" x14ac:dyDescent="0.2">
      <c r="A149">
        <f>ROW(Source!A207)</f>
        <v>207</v>
      </c>
      <c r="B149">
        <v>38799519</v>
      </c>
      <c r="C149">
        <v>38800261</v>
      </c>
      <c r="D149">
        <v>38464324</v>
      </c>
      <c r="E149">
        <v>1</v>
      </c>
      <c r="F149">
        <v>1</v>
      </c>
      <c r="G149">
        <v>27</v>
      </c>
      <c r="H149">
        <v>2</v>
      </c>
      <c r="I149" t="s">
        <v>459</v>
      </c>
      <c r="J149" t="s">
        <v>460</v>
      </c>
      <c r="K149" t="s">
        <v>461</v>
      </c>
      <c r="L149">
        <v>1368</v>
      </c>
      <c r="N149">
        <v>1011</v>
      </c>
      <c r="O149" t="s">
        <v>393</v>
      </c>
      <c r="P149" t="s">
        <v>393</v>
      </c>
      <c r="Q149">
        <v>1</v>
      </c>
      <c r="W149">
        <v>0</v>
      </c>
      <c r="X149">
        <v>-929482187</v>
      </c>
      <c r="Y149">
        <v>0.01</v>
      </c>
      <c r="AA149">
        <v>0</v>
      </c>
      <c r="AB149">
        <v>616.73</v>
      </c>
      <c r="AC149">
        <v>511.29</v>
      </c>
      <c r="AD149">
        <v>0</v>
      </c>
      <c r="AE149">
        <v>0</v>
      </c>
      <c r="AF149">
        <v>616.73</v>
      </c>
      <c r="AG149">
        <v>511.29</v>
      </c>
      <c r="AH149">
        <v>0</v>
      </c>
      <c r="AI149">
        <v>1</v>
      </c>
      <c r="AJ149">
        <v>1</v>
      </c>
      <c r="AK149">
        <v>1</v>
      </c>
      <c r="AL149">
        <v>1</v>
      </c>
      <c r="AN149">
        <v>0</v>
      </c>
      <c r="AO149">
        <v>1</v>
      </c>
      <c r="AP149">
        <v>0</v>
      </c>
      <c r="AQ149">
        <v>0</v>
      </c>
      <c r="AR149">
        <v>0</v>
      </c>
      <c r="AS149" t="s">
        <v>3</v>
      </c>
      <c r="AT149">
        <v>0.01</v>
      </c>
      <c r="AU149" t="s">
        <v>3</v>
      </c>
      <c r="AV149">
        <v>0</v>
      </c>
      <c r="AW149">
        <v>2</v>
      </c>
      <c r="AX149">
        <v>38800275</v>
      </c>
      <c r="AY149">
        <v>1</v>
      </c>
      <c r="AZ149">
        <v>0</v>
      </c>
      <c r="BA149">
        <v>145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CX149">
        <f>Y149*Source!I207</f>
        <v>3.0299999999999997E-2</v>
      </c>
      <c r="CY149">
        <f>AB149</f>
        <v>616.73</v>
      </c>
      <c r="CZ149">
        <f>AF149</f>
        <v>616.73</v>
      </c>
      <c r="DA149">
        <f>AJ149</f>
        <v>1</v>
      </c>
      <c r="DB149">
        <f t="shared" ref="DB149:DB180" si="16">ROUND(ROUND(AT149*CZ149,2),6)</f>
        <v>6.17</v>
      </c>
      <c r="DC149">
        <f t="shared" ref="DC149:DC180" si="17">ROUND(ROUND(AT149*AG149,2),6)</f>
        <v>5.1100000000000003</v>
      </c>
    </row>
    <row r="150" spans="1:107" x14ac:dyDescent="0.2">
      <c r="A150">
        <f>ROW(Source!A207)</f>
        <v>207</v>
      </c>
      <c r="B150">
        <v>38799519</v>
      </c>
      <c r="C150">
        <v>38800261</v>
      </c>
      <c r="D150">
        <v>38464508</v>
      </c>
      <c r="E150">
        <v>1</v>
      </c>
      <c r="F150">
        <v>1</v>
      </c>
      <c r="G150">
        <v>27</v>
      </c>
      <c r="H150">
        <v>2</v>
      </c>
      <c r="I150" t="s">
        <v>462</v>
      </c>
      <c r="J150" t="s">
        <v>463</v>
      </c>
      <c r="K150" t="s">
        <v>464</v>
      </c>
      <c r="L150">
        <v>1368</v>
      </c>
      <c r="N150">
        <v>1011</v>
      </c>
      <c r="O150" t="s">
        <v>393</v>
      </c>
      <c r="P150" t="s">
        <v>393</v>
      </c>
      <c r="Q150">
        <v>1</v>
      </c>
      <c r="W150">
        <v>0</v>
      </c>
      <c r="X150">
        <v>1948933241</v>
      </c>
      <c r="Y150">
        <v>2.64</v>
      </c>
      <c r="AA150">
        <v>0</v>
      </c>
      <c r="AB150">
        <v>454.31</v>
      </c>
      <c r="AC150">
        <v>405.68</v>
      </c>
      <c r="AD150">
        <v>0</v>
      </c>
      <c r="AE150">
        <v>0</v>
      </c>
      <c r="AF150">
        <v>454.31</v>
      </c>
      <c r="AG150">
        <v>405.68</v>
      </c>
      <c r="AH150">
        <v>0</v>
      </c>
      <c r="AI150">
        <v>1</v>
      </c>
      <c r="AJ150">
        <v>1</v>
      </c>
      <c r="AK150">
        <v>1</v>
      </c>
      <c r="AL150">
        <v>1</v>
      </c>
      <c r="AN150">
        <v>0</v>
      </c>
      <c r="AO150">
        <v>1</v>
      </c>
      <c r="AP150">
        <v>0</v>
      </c>
      <c r="AQ150">
        <v>0</v>
      </c>
      <c r="AR150">
        <v>0</v>
      </c>
      <c r="AS150" t="s">
        <v>3</v>
      </c>
      <c r="AT150">
        <v>2.64</v>
      </c>
      <c r="AU150" t="s">
        <v>3</v>
      </c>
      <c r="AV150">
        <v>0</v>
      </c>
      <c r="AW150">
        <v>2</v>
      </c>
      <c r="AX150">
        <v>38800276</v>
      </c>
      <c r="AY150">
        <v>1</v>
      </c>
      <c r="AZ150">
        <v>0</v>
      </c>
      <c r="BA150">
        <v>146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CX150">
        <f>Y150*Source!I207</f>
        <v>7.9992000000000001</v>
      </c>
      <c r="CY150">
        <f>AB150</f>
        <v>454.31</v>
      </c>
      <c r="CZ150">
        <f>AF150</f>
        <v>454.31</v>
      </c>
      <c r="DA150">
        <f>AJ150</f>
        <v>1</v>
      </c>
      <c r="DB150">
        <f t="shared" si="16"/>
        <v>1199.3800000000001</v>
      </c>
      <c r="DC150">
        <f t="shared" si="17"/>
        <v>1071</v>
      </c>
    </row>
    <row r="151" spans="1:107" x14ac:dyDescent="0.2">
      <c r="A151">
        <f>ROW(Source!A207)</f>
        <v>207</v>
      </c>
      <c r="B151">
        <v>38799519</v>
      </c>
      <c r="C151">
        <v>38800261</v>
      </c>
      <c r="D151">
        <v>38467332</v>
      </c>
      <c r="E151">
        <v>1</v>
      </c>
      <c r="F151">
        <v>1</v>
      </c>
      <c r="G151">
        <v>27</v>
      </c>
      <c r="H151">
        <v>3</v>
      </c>
      <c r="I151" t="s">
        <v>465</v>
      </c>
      <c r="J151" t="s">
        <v>466</v>
      </c>
      <c r="K151" t="s">
        <v>467</v>
      </c>
      <c r="L151">
        <v>1327</v>
      </c>
      <c r="N151">
        <v>1005</v>
      </c>
      <c r="O151" t="s">
        <v>289</v>
      </c>
      <c r="P151" t="s">
        <v>289</v>
      </c>
      <c r="Q151">
        <v>1</v>
      </c>
      <c r="W151">
        <v>0</v>
      </c>
      <c r="X151">
        <v>-656702110</v>
      </c>
      <c r="Y151">
        <v>5.6</v>
      </c>
      <c r="AA151">
        <v>12.02</v>
      </c>
      <c r="AB151">
        <v>0</v>
      </c>
      <c r="AC151">
        <v>0</v>
      </c>
      <c r="AD151">
        <v>0</v>
      </c>
      <c r="AE151">
        <v>12.02</v>
      </c>
      <c r="AF151">
        <v>0</v>
      </c>
      <c r="AG151">
        <v>0</v>
      </c>
      <c r="AH151">
        <v>0</v>
      </c>
      <c r="AI151">
        <v>1</v>
      </c>
      <c r="AJ151">
        <v>1</v>
      </c>
      <c r="AK151">
        <v>1</v>
      </c>
      <c r="AL151">
        <v>1</v>
      </c>
      <c r="AN151">
        <v>0</v>
      </c>
      <c r="AO151">
        <v>1</v>
      </c>
      <c r="AP151">
        <v>0</v>
      </c>
      <c r="AQ151">
        <v>0</v>
      </c>
      <c r="AR151">
        <v>0</v>
      </c>
      <c r="AS151" t="s">
        <v>3</v>
      </c>
      <c r="AT151">
        <v>5.6</v>
      </c>
      <c r="AU151" t="s">
        <v>3</v>
      </c>
      <c r="AV151">
        <v>0</v>
      </c>
      <c r="AW151">
        <v>2</v>
      </c>
      <c r="AX151">
        <v>38800277</v>
      </c>
      <c r="AY151">
        <v>1</v>
      </c>
      <c r="AZ151">
        <v>0</v>
      </c>
      <c r="BA151">
        <v>147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CX151">
        <f>Y151*Source!I207</f>
        <v>16.967999999999996</v>
      </c>
      <c r="CY151">
        <f>AA151</f>
        <v>12.02</v>
      </c>
      <c r="CZ151">
        <f>AE151</f>
        <v>12.02</v>
      </c>
      <c r="DA151">
        <f>AI151</f>
        <v>1</v>
      </c>
      <c r="DB151">
        <f t="shared" si="16"/>
        <v>67.31</v>
      </c>
      <c r="DC151">
        <f t="shared" si="17"/>
        <v>0</v>
      </c>
    </row>
    <row r="152" spans="1:107" x14ac:dyDescent="0.2">
      <c r="A152">
        <f>ROW(Source!A207)</f>
        <v>207</v>
      </c>
      <c r="B152">
        <v>38799519</v>
      </c>
      <c r="C152">
        <v>38800261</v>
      </c>
      <c r="D152">
        <v>38467419</v>
      </c>
      <c r="E152">
        <v>1</v>
      </c>
      <c r="F152">
        <v>1</v>
      </c>
      <c r="G152">
        <v>27</v>
      </c>
      <c r="H152">
        <v>3</v>
      </c>
      <c r="I152" t="s">
        <v>468</v>
      </c>
      <c r="J152" t="s">
        <v>469</v>
      </c>
      <c r="K152" t="s">
        <v>470</v>
      </c>
      <c r="L152">
        <v>1348</v>
      </c>
      <c r="N152">
        <v>1009</v>
      </c>
      <c r="O152" t="s">
        <v>155</v>
      </c>
      <c r="P152" t="s">
        <v>155</v>
      </c>
      <c r="Q152">
        <v>1000</v>
      </c>
      <c r="W152">
        <v>0</v>
      </c>
      <c r="X152">
        <v>2135985724</v>
      </c>
      <c r="Y152">
        <v>3.15E-3</v>
      </c>
      <c r="AA152">
        <v>343020.03</v>
      </c>
      <c r="AB152">
        <v>0</v>
      </c>
      <c r="AC152">
        <v>0</v>
      </c>
      <c r="AD152">
        <v>0</v>
      </c>
      <c r="AE152">
        <v>343020.03</v>
      </c>
      <c r="AF152">
        <v>0</v>
      </c>
      <c r="AG152">
        <v>0</v>
      </c>
      <c r="AH152">
        <v>0</v>
      </c>
      <c r="AI152">
        <v>1</v>
      </c>
      <c r="AJ152">
        <v>1</v>
      </c>
      <c r="AK152">
        <v>1</v>
      </c>
      <c r="AL152">
        <v>1</v>
      </c>
      <c r="AN152">
        <v>0</v>
      </c>
      <c r="AO152">
        <v>1</v>
      </c>
      <c r="AP152">
        <v>0</v>
      </c>
      <c r="AQ152">
        <v>0</v>
      </c>
      <c r="AR152">
        <v>0</v>
      </c>
      <c r="AS152" t="s">
        <v>3</v>
      </c>
      <c r="AT152">
        <v>3.15E-3</v>
      </c>
      <c r="AU152" t="s">
        <v>3</v>
      </c>
      <c r="AV152">
        <v>0</v>
      </c>
      <c r="AW152">
        <v>2</v>
      </c>
      <c r="AX152">
        <v>38800278</v>
      </c>
      <c r="AY152">
        <v>1</v>
      </c>
      <c r="AZ152">
        <v>0</v>
      </c>
      <c r="BA152">
        <v>148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CX152">
        <f>Y152*Source!I207</f>
        <v>9.5444999999999992E-3</v>
      </c>
      <c r="CY152">
        <f>AA152</f>
        <v>343020.03</v>
      </c>
      <c r="CZ152">
        <f>AE152</f>
        <v>343020.03</v>
      </c>
      <c r="DA152">
        <f>AI152</f>
        <v>1</v>
      </c>
      <c r="DB152">
        <f t="shared" si="16"/>
        <v>1080.51</v>
      </c>
      <c r="DC152">
        <f t="shared" si="17"/>
        <v>0</v>
      </c>
    </row>
    <row r="153" spans="1:107" x14ac:dyDescent="0.2">
      <c r="A153">
        <f>ROW(Source!A207)</f>
        <v>207</v>
      </c>
      <c r="B153">
        <v>38799519</v>
      </c>
      <c r="C153">
        <v>38800261</v>
      </c>
      <c r="D153">
        <v>38467636</v>
      </c>
      <c r="E153">
        <v>1</v>
      </c>
      <c r="F153">
        <v>1</v>
      </c>
      <c r="G153">
        <v>27</v>
      </c>
      <c r="H153">
        <v>3</v>
      </c>
      <c r="I153" t="s">
        <v>471</v>
      </c>
      <c r="J153" t="s">
        <v>472</v>
      </c>
      <c r="K153" t="s">
        <v>473</v>
      </c>
      <c r="L153">
        <v>1346</v>
      </c>
      <c r="N153">
        <v>1009</v>
      </c>
      <c r="O153" t="s">
        <v>474</v>
      </c>
      <c r="P153" t="s">
        <v>474</v>
      </c>
      <c r="Q153">
        <v>1</v>
      </c>
      <c r="W153">
        <v>0</v>
      </c>
      <c r="X153">
        <v>-78256104</v>
      </c>
      <c r="Y153">
        <v>735</v>
      </c>
      <c r="AA153">
        <v>17.77</v>
      </c>
      <c r="AB153">
        <v>0</v>
      </c>
      <c r="AC153">
        <v>0</v>
      </c>
      <c r="AD153">
        <v>0</v>
      </c>
      <c r="AE153">
        <v>17.77</v>
      </c>
      <c r="AF153">
        <v>0</v>
      </c>
      <c r="AG153">
        <v>0</v>
      </c>
      <c r="AH153">
        <v>0</v>
      </c>
      <c r="AI153">
        <v>1</v>
      </c>
      <c r="AJ153">
        <v>1</v>
      </c>
      <c r="AK153">
        <v>1</v>
      </c>
      <c r="AL153">
        <v>1</v>
      </c>
      <c r="AN153">
        <v>0</v>
      </c>
      <c r="AO153">
        <v>1</v>
      </c>
      <c r="AP153">
        <v>0</v>
      </c>
      <c r="AQ153">
        <v>0</v>
      </c>
      <c r="AR153">
        <v>0</v>
      </c>
      <c r="AS153" t="s">
        <v>3</v>
      </c>
      <c r="AT153">
        <v>735</v>
      </c>
      <c r="AU153" t="s">
        <v>3</v>
      </c>
      <c r="AV153">
        <v>0</v>
      </c>
      <c r="AW153">
        <v>2</v>
      </c>
      <c r="AX153">
        <v>38800279</v>
      </c>
      <c r="AY153">
        <v>1</v>
      </c>
      <c r="AZ153">
        <v>0</v>
      </c>
      <c r="BA153">
        <v>149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CX153">
        <f>Y153*Source!I207</f>
        <v>2227.0499999999997</v>
      </c>
      <c r="CY153">
        <f>AA153</f>
        <v>17.77</v>
      </c>
      <c r="CZ153">
        <f>AE153</f>
        <v>17.77</v>
      </c>
      <c r="DA153">
        <f>AI153</f>
        <v>1</v>
      </c>
      <c r="DB153">
        <f t="shared" si="16"/>
        <v>13060.95</v>
      </c>
      <c r="DC153">
        <f t="shared" si="17"/>
        <v>0</v>
      </c>
    </row>
    <row r="154" spans="1:107" x14ac:dyDescent="0.2">
      <c r="A154">
        <f>ROW(Source!A207)</f>
        <v>207</v>
      </c>
      <c r="B154">
        <v>38799519</v>
      </c>
      <c r="C154">
        <v>38800261</v>
      </c>
      <c r="D154">
        <v>38467643</v>
      </c>
      <c r="E154">
        <v>1</v>
      </c>
      <c r="F154">
        <v>1</v>
      </c>
      <c r="G154">
        <v>27</v>
      </c>
      <c r="H154">
        <v>3</v>
      </c>
      <c r="I154" t="s">
        <v>475</v>
      </c>
      <c r="J154" t="s">
        <v>476</v>
      </c>
      <c r="K154" t="s">
        <v>477</v>
      </c>
      <c r="L154">
        <v>1346</v>
      </c>
      <c r="N154">
        <v>1009</v>
      </c>
      <c r="O154" t="s">
        <v>474</v>
      </c>
      <c r="P154" t="s">
        <v>474</v>
      </c>
      <c r="Q154">
        <v>1</v>
      </c>
      <c r="W154">
        <v>0</v>
      </c>
      <c r="X154">
        <v>1434584530</v>
      </c>
      <c r="Y154">
        <v>241.5</v>
      </c>
      <c r="AA154">
        <v>202.34</v>
      </c>
      <c r="AB154">
        <v>0</v>
      </c>
      <c r="AC154">
        <v>0</v>
      </c>
      <c r="AD154">
        <v>0</v>
      </c>
      <c r="AE154">
        <v>202.34</v>
      </c>
      <c r="AF154">
        <v>0</v>
      </c>
      <c r="AG154">
        <v>0</v>
      </c>
      <c r="AH154">
        <v>0</v>
      </c>
      <c r="AI154">
        <v>1</v>
      </c>
      <c r="AJ154">
        <v>1</v>
      </c>
      <c r="AK154">
        <v>1</v>
      </c>
      <c r="AL154">
        <v>1</v>
      </c>
      <c r="AN154">
        <v>0</v>
      </c>
      <c r="AO154">
        <v>1</v>
      </c>
      <c r="AP154">
        <v>0</v>
      </c>
      <c r="AQ154">
        <v>0</v>
      </c>
      <c r="AR154">
        <v>0</v>
      </c>
      <c r="AS154" t="s">
        <v>3</v>
      </c>
      <c r="AT154">
        <v>241.5</v>
      </c>
      <c r="AU154" t="s">
        <v>3</v>
      </c>
      <c r="AV154">
        <v>0</v>
      </c>
      <c r="AW154">
        <v>2</v>
      </c>
      <c r="AX154">
        <v>38800280</v>
      </c>
      <c r="AY154">
        <v>1</v>
      </c>
      <c r="AZ154">
        <v>0</v>
      </c>
      <c r="BA154">
        <v>150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CX154">
        <f>Y154*Source!I207</f>
        <v>731.745</v>
      </c>
      <c r="CY154">
        <f>AA154</f>
        <v>202.34</v>
      </c>
      <c r="CZ154">
        <f>AE154</f>
        <v>202.34</v>
      </c>
      <c r="DA154">
        <f>AI154</f>
        <v>1</v>
      </c>
      <c r="DB154">
        <f t="shared" si="16"/>
        <v>48865.11</v>
      </c>
      <c r="DC154">
        <f t="shared" si="17"/>
        <v>0</v>
      </c>
    </row>
    <row r="155" spans="1:107" x14ac:dyDescent="0.2">
      <c r="A155">
        <f>ROW(Source!A207)</f>
        <v>207</v>
      </c>
      <c r="B155">
        <v>38799519</v>
      </c>
      <c r="C155">
        <v>38800261</v>
      </c>
      <c r="D155">
        <v>38465610</v>
      </c>
      <c r="E155">
        <v>1</v>
      </c>
      <c r="F155">
        <v>1</v>
      </c>
      <c r="G155">
        <v>27</v>
      </c>
      <c r="H155">
        <v>3</v>
      </c>
      <c r="I155" t="s">
        <v>478</v>
      </c>
      <c r="J155" t="s">
        <v>479</v>
      </c>
      <c r="K155" t="s">
        <v>480</v>
      </c>
      <c r="L155">
        <v>1348</v>
      </c>
      <c r="N155">
        <v>1009</v>
      </c>
      <c r="O155" t="s">
        <v>155</v>
      </c>
      <c r="P155" t="s">
        <v>155</v>
      </c>
      <c r="Q155">
        <v>1000</v>
      </c>
      <c r="W155">
        <v>0</v>
      </c>
      <c r="X155">
        <v>-629368275</v>
      </c>
      <c r="Y155">
        <v>5.2499999999999998E-2</v>
      </c>
      <c r="AA155">
        <v>748299.67</v>
      </c>
      <c r="AB155">
        <v>0</v>
      </c>
      <c r="AC155">
        <v>0</v>
      </c>
      <c r="AD155">
        <v>0</v>
      </c>
      <c r="AE155">
        <v>748299.67</v>
      </c>
      <c r="AF155">
        <v>0</v>
      </c>
      <c r="AG155">
        <v>0</v>
      </c>
      <c r="AH155">
        <v>0</v>
      </c>
      <c r="AI155">
        <v>1</v>
      </c>
      <c r="AJ155">
        <v>1</v>
      </c>
      <c r="AK155">
        <v>1</v>
      </c>
      <c r="AL155">
        <v>1</v>
      </c>
      <c r="AN155">
        <v>0</v>
      </c>
      <c r="AO155">
        <v>1</v>
      </c>
      <c r="AP155">
        <v>0</v>
      </c>
      <c r="AQ155">
        <v>0</v>
      </c>
      <c r="AR155">
        <v>0</v>
      </c>
      <c r="AS155" t="s">
        <v>3</v>
      </c>
      <c r="AT155">
        <v>5.2499999999999998E-2</v>
      </c>
      <c r="AU155" t="s">
        <v>3</v>
      </c>
      <c r="AV155">
        <v>0</v>
      </c>
      <c r="AW155">
        <v>2</v>
      </c>
      <c r="AX155">
        <v>38800281</v>
      </c>
      <c r="AY155">
        <v>1</v>
      </c>
      <c r="AZ155">
        <v>0</v>
      </c>
      <c r="BA155">
        <v>151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CX155">
        <f>Y155*Source!I207</f>
        <v>0.15907499999999999</v>
      </c>
      <c r="CY155">
        <f>AA155</f>
        <v>748299.67</v>
      </c>
      <c r="CZ155">
        <f>AE155</f>
        <v>748299.67</v>
      </c>
      <c r="DA155">
        <f>AI155</f>
        <v>1</v>
      </c>
      <c r="DB155">
        <f t="shared" si="16"/>
        <v>39285.730000000003</v>
      </c>
      <c r="DC155">
        <f t="shared" si="17"/>
        <v>0</v>
      </c>
    </row>
    <row r="156" spans="1:107" x14ac:dyDescent="0.2">
      <c r="A156">
        <f>ROW(Source!A208)</f>
        <v>208</v>
      </c>
      <c r="B156">
        <v>38799519</v>
      </c>
      <c r="C156">
        <v>38800786</v>
      </c>
      <c r="D156">
        <v>38451941</v>
      </c>
      <c r="E156">
        <v>27</v>
      </c>
      <c r="F156">
        <v>1</v>
      </c>
      <c r="G156">
        <v>27</v>
      </c>
      <c r="H156">
        <v>1</v>
      </c>
      <c r="I156" t="s">
        <v>387</v>
      </c>
      <c r="J156" t="s">
        <v>3</v>
      </c>
      <c r="K156" t="s">
        <v>388</v>
      </c>
      <c r="L156">
        <v>1191</v>
      </c>
      <c r="N156">
        <v>1013</v>
      </c>
      <c r="O156" t="s">
        <v>389</v>
      </c>
      <c r="P156" t="s">
        <v>389</v>
      </c>
      <c r="Q156">
        <v>1</v>
      </c>
      <c r="W156">
        <v>0</v>
      </c>
      <c r="X156">
        <v>476480486</v>
      </c>
      <c r="Y156">
        <v>87.4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1</v>
      </c>
      <c r="AJ156">
        <v>1</v>
      </c>
      <c r="AK156">
        <v>1</v>
      </c>
      <c r="AL156">
        <v>1</v>
      </c>
      <c r="AN156">
        <v>0</v>
      </c>
      <c r="AO156">
        <v>1</v>
      </c>
      <c r="AP156">
        <v>1</v>
      </c>
      <c r="AQ156">
        <v>0</v>
      </c>
      <c r="AR156">
        <v>0</v>
      </c>
      <c r="AS156" t="s">
        <v>3</v>
      </c>
      <c r="AT156">
        <v>87.4</v>
      </c>
      <c r="AU156" t="s">
        <v>3</v>
      </c>
      <c r="AV156">
        <v>1</v>
      </c>
      <c r="AW156">
        <v>2</v>
      </c>
      <c r="AX156">
        <v>38800792</v>
      </c>
      <c r="AY156">
        <v>1</v>
      </c>
      <c r="AZ156">
        <v>0</v>
      </c>
      <c r="BA156">
        <v>152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CX156">
        <f>Y156*Source!I208</f>
        <v>227.24</v>
      </c>
      <c r="CY156">
        <f>AD156</f>
        <v>0</v>
      </c>
      <c r="CZ156">
        <f>AH156</f>
        <v>0</v>
      </c>
      <c r="DA156">
        <f>AL156</f>
        <v>1</v>
      </c>
      <c r="DB156">
        <f t="shared" si="16"/>
        <v>0</v>
      </c>
      <c r="DC156">
        <f t="shared" si="17"/>
        <v>0</v>
      </c>
    </row>
    <row r="157" spans="1:107" x14ac:dyDescent="0.2">
      <c r="A157">
        <f>ROW(Source!A208)</f>
        <v>208</v>
      </c>
      <c r="B157">
        <v>38799519</v>
      </c>
      <c r="C157">
        <v>38800786</v>
      </c>
      <c r="D157">
        <v>38464342</v>
      </c>
      <c r="E157">
        <v>1</v>
      </c>
      <c r="F157">
        <v>1</v>
      </c>
      <c r="G157">
        <v>27</v>
      </c>
      <c r="H157">
        <v>2</v>
      </c>
      <c r="I157" t="s">
        <v>520</v>
      </c>
      <c r="J157" t="s">
        <v>521</v>
      </c>
      <c r="K157" t="s">
        <v>522</v>
      </c>
      <c r="L157">
        <v>1368</v>
      </c>
      <c r="N157">
        <v>1011</v>
      </c>
      <c r="O157" t="s">
        <v>393</v>
      </c>
      <c r="P157" t="s">
        <v>393</v>
      </c>
      <c r="Q157">
        <v>1</v>
      </c>
      <c r="W157">
        <v>0</v>
      </c>
      <c r="X157">
        <v>-204835879</v>
      </c>
      <c r="Y157">
        <v>19</v>
      </c>
      <c r="AA157">
        <v>0</v>
      </c>
      <c r="AB157">
        <v>31</v>
      </c>
      <c r="AC157">
        <v>1.35</v>
      </c>
      <c r="AD157">
        <v>0</v>
      </c>
      <c r="AE157">
        <v>0</v>
      </c>
      <c r="AF157">
        <v>31</v>
      </c>
      <c r="AG157">
        <v>1.35</v>
      </c>
      <c r="AH157">
        <v>0</v>
      </c>
      <c r="AI157">
        <v>1</v>
      </c>
      <c r="AJ157">
        <v>1</v>
      </c>
      <c r="AK157">
        <v>1</v>
      </c>
      <c r="AL157">
        <v>1</v>
      </c>
      <c r="AN157">
        <v>0</v>
      </c>
      <c r="AO157">
        <v>1</v>
      </c>
      <c r="AP157">
        <v>1</v>
      </c>
      <c r="AQ157">
        <v>0</v>
      </c>
      <c r="AR157">
        <v>0</v>
      </c>
      <c r="AS157" t="s">
        <v>3</v>
      </c>
      <c r="AT157">
        <v>19</v>
      </c>
      <c r="AU157" t="s">
        <v>3</v>
      </c>
      <c r="AV157">
        <v>0</v>
      </c>
      <c r="AW157">
        <v>2</v>
      </c>
      <c r="AX157">
        <v>38800793</v>
      </c>
      <c r="AY157">
        <v>1</v>
      </c>
      <c r="AZ157">
        <v>0</v>
      </c>
      <c r="BA157">
        <v>153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CX157">
        <f>Y157*Source!I208</f>
        <v>49.4</v>
      </c>
      <c r="CY157">
        <f>AB157</f>
        <v>31</v>
      </c>
      <c r="CZ157">
        <f>AF157</f>
        <v>31</v>
      </c>
      <c r="DA157">
        <f>AJ157</f>
        <v>1</v>
      </c>
      <c r="DB157">
        <f t="shared" si="16"/>
        <v>589</v>
      </c>
      <c r="DC157">
        <f t="shared" si="17"/>
        <v>25.65</v>
      </c>
    </row>
    <row r="158" spans="1:107" x14ac:dyDescent="0.2">
      <c r="A158">
        <f>ROW(Source!A208)</f>
        <v>208</v>
      </c>
      <c r="B158">
        <v>38799519</v>
      </c>
      <c r="C158">
        <v>38800786</v>
      </c>
      <c r="D158">
        <v>38466161</v>
      </c>
      <c r="E158">
        <v>1</v>
      </c>
      <c r="F158">
        <v>1</v>
      </c>
      <c r="G158">
        <v>27</v>
      </c>
      <c r="H158">
        <v>3</v>
      </c>
      <c r="I158" t="s">
        <v>523</v>
      </c>
      <c r="J158" t="s">
        <v>524</v>
      </c>
      <c r="K158" t="s">
        <v>525</v>
      </c>
      <c r="L158">
        <v>1348</v>
      </c>
      <c r="N158">
        <v>1009</v>
      </c>
      <c r="O158" t="s">
        <v>155</v>
      </c>
      <c r="P158" t="s">
        <v>155</v>
      </c>
      <c r="Q158">
        <v>1000</v>
      </c>
      <c r="W158">
        <v>0</v>
      </c>
      <c r="X158">
        <v>-1356276541</v>
      </c>
      <c r="Y158">
        <v>3.3E-3</v>
      </c>
      <c r="AA158">
        <v>105084.63</v>
      </c>
      <c r="AB158">
        <v>0</v>
      </c>
      <c r="AC158">
        <v>0</v>
      </c>
      <c r="AD158">
        <v>0</v>
      </c>
      <c r="AE158">
        <v>105084.63</v>
      </c>
      <c r="AF158">
        <v>0</v>
      </c>
      <c r="AG158">
        <v>0</v>
      </c>
      <c r="AH158">
        <v>0</v>
      </c>
      <c r="AI158">
        <v>1</v>
      </c>
      <c r="AJ158">
        <v>1</v>
      </c>
      <c r="AK158">
        <v>1</v>
      </c>
      <c r="AL158">
        <v>1</v>
      </c>
      <c r="AN158">
        <v>0</v>
      </c>
      <c r="AO158">
        <v>1</v>
      </c>
      <c r="AP158">
        <v>1</v>
      </c>
      <c r="AQ158">
        <v>0</v>
      </c>
      <c r="AR158">
        <v>0</v>
      </c>
      <c r="AS158" t="s">
        <v>3</v>
      </c>
      <c r="AT158">
        <v>3.3E-3</v>
      </c>
      <c r="AU158" t="s">
        <v>3</v>
      </c>
      <c r="AV158">
        <v>0</v>
      </c>
      <c r="AW158">
        <v>2</v>
      </c>
      <c r="AX158">
        <v>38800794</v>
      </c>
      <c r="AY158">
        <v>1</v>
      </c>
      <c r="AZ158">
        <v>0</v>
      </c>
      <c r="BA158">
        <v>154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CX158">
        <f>Y158*Source!I208</f>
        <v>8.5800000000000008E-3</v>
      </c>
      <c r="CY158">
        <f t="shared" ref="CY158:CY180" si="18">AA158</f>
        <v>105084.63</v>
      </c>
      <c r="CZ158">
        <f t="shared" ref="CZ158:CZ180" si="19">AE158</f>
        <v>105084.63</v>
      </c>
      <c r="DA158">
        <f t="shared" ref="DA158:DA180" si="20">AI158</f>
        <v>1</v>
      </c>
      <c r="DB158">
        <f t="shared" si="16"/>
        <v>346.78</v>
      </c>
      <c r="DC158">
        <f t="shared" si="17"/>
        <v>0</v>
      </c>
    </row>
    <row r="159" spans="1:107" x14ac:dyDescent="0.2">
      <c r="A159">
        <f>ROW(Source!A208)</f>
        <v>208</v>
      </c>
      <c r="B159">
        <v>38799519</v>
      </c>
      <c r="C159">
        <v>38800786</v>
      </c>
      <c r="D159">
        <v>38467018</v>
      </c>
      <c r="E159">
        <v>1</v>
      </c>
      <c r="F159">
        <v>1</v>
      </c>
      <c r="G159">
        <v>27</v>
      </c>
      <c r="H159">
        <v>3</v>
      </c>
      <c r="I159" t="s">
        <v>496</v>
      </c>
      <c r="J159" t="s">
        <v>497</v>
      </c>
      <c r="K159" t="s">
        <v>498</v>
      </c>
      <c r="L159">
        <v>1348</v>
      </c>
      <c r="N159">
        <v>1009</v>
      </c>
      <c r="O159" t="s">
        <v>155</v>
      </c>
      <c r="P159" t="s">
        <v>155</v>
      </c>
      <c r="Q159">
        <v>1000</v>
      </c>
      <c r="W159">
        <v>0</v>
      </c>
      <c r="X159">
        <v>-941081254</v>
      </c>
      <c r="Y159">
        <v>1.4E-3</v>
      </c>
      <c r="AA159">
        <v>110781.14</v>
      </c>
      <c r="AB159">
        <v>0</v>
      </c>
      <c r="AC159">
        <v>0</v>
      </c>
      <c r="AD159">
        <v>0</v>
      </c>
      <c r="AE159">
        <v>110781.14</v>
      </c>
      <c r="AF159">
        <v>0</v>
      </c>
      <c r="AG159">
        <v>0</v>
      </c>
      <c r="AH159">
        <v>0</v>
      </c>
      <c r="AI159">
        <v>1</v>
      </c>
      <c r="AJ159">
        <v>1</v>
      </c>
      <c r="AK159">
        <v>1</v>
      </c>
      <c r="AL159">
        <v>1</v>
      </c>
      <c r="AN159">
        <v>0</v>
      </c>
      <c r="AO159">
        <v>1</v>
      </c>
      <c r="AP159">
        <v>1</v>
      </c>
      <c r="AQ159">
        <v>0</v>
      </c>
      <c r="AR159">
        <v>0</v>
      </c>
      <c r="AS159" t="s">
        <v>3</v>
      </c>
      <c r="AT159">
        <v>1.4E-3</v>
      </c>
      <c r="AU159" t="s">
        <v>3</v>
      </c>
      <c r="AV159">
        <v>0</v>
      </c>
      <c r="AW159">
        <v>2</v>
      </c>
      <c r="AX159">
        <v>38800795</v>
      </c>
      <c r="AY159">
        <v>1</v>
      </c>
      <c r="AZ159">
        <v>0</v>
      </c>
      <c r="BA159">
        <v>155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CX159">
        <f>Y159*Source!I208</f>
        <v>3.64E-3</v>
      </c>
      <c r="CY159">
        <f t="shared" si="18"/>
        <v>110781.14</v>
      </c>
      <c r="CZ159">
        <f t="shared" si="19"/>
        <v>110781.14</v>
      </c>
      <c r="DA159">
        <f t="shared" si="20"/>
        <v>1</v>
      </c>
      <c r="DB159">
        <f t="shared" si="16"/>
        <v>155.09</v>
      </c>
      <c r="DC159">
        <f t="shared" si="17"/>
        <v>0</v>
      </c>
    </row>
    <row r="160" spans="1:107" x14ac:dyDescent="0.2">
      <c r="A160">
        <f>ROW(Source!A208)</f>
        <v>208</v>
      </c>
      <c r="B160">
        <v>38799519</v>
      </c>
      <c r="C160">
        <v>38800786</v>
      </c>
      <c r="D160">
        <v>38469133</v>
      </c>
      <c r="E160">
        <v>1</v>
      </c>
      <c r="F160">
        <v>1</v>
      </c>
      <c r="G160">
        <v>27</v>
      </c>
      <c r="H160">
        <v>3</v>
      </c>
      <c r="I160" t="s">
        <v>526</v>
      </c>
      <c r="J160" t="s">
        <v>527</v>
      </c>
      <c r="K160" t="s">
        <v>528</v>
      </c>
      <c r="L160">
        <v>1348</v>
      </c>
      <c r="N160">
        <v>1009</v>
      </c>
      <c r="O160" t="s">
        <v>155</v>
      </c>
      <c r="P160" t="s">
        <v>155</v>
      </c>
      <c r="Q160">
        <v>1000</v>
      </c>
      <c r="W160">
        <v>0</v>
      </c>
      <c r="X160">
        <v>485376408</v>
      </c>
      <c r="Y160">
        <v>1</v>
      </c>
      <c r="AA160">
        <v>75026.559999999998</v>
      </c>
      <c r="AB160">
        <v>0</v>
      </c>
      <c r="AC160">
        <v>0</v>
      </c>
      <c r="AD160">
        <v>0</v>
      </c>
      <c r="AE160">
        <v>75026.559999999998</v>
      </c>
      <c r="AF160">
        <v>0</v>
      </c>
      <c r="AG160">
        <v>0</v>
      </c>
      <c r="AH160">
        <v>0</v>
      </c>
      <c r="AI160">
        <v>1</v>
      </c>
      <c r="AJ160">
        <v>1</v>
      </c>
      <c r="AK160">
        <v>1</v>
      </c>
      <c r="AL160">
        <v>1</v>
      </c>
      <c r="AN160">
        <v>0</v>
      </c>
      <c r="AO160">
        <v>1</v>
      </c>
      <c r="AP160">
        <v>1</v>
      </c>
      <c r="AQ160">
        <v>0</v>
      </c>
      <c r="AR160">
        <v>0</v>
      </c>
      <c r="AS160" t="s">
        <v>3</v>
      </c>
      <c r="AT160">
        <v>1</v>
      </c>
      <c r="AU160" t="s">
        <v>3</v>
      </c>
      <c r="AV160">
        <v>0</v>
      </c>
      <c r="AW160">
        <v>2</v>
      </c>
      <c r="AX160">
        <v>38800796</v>
      </c>
      <c r="AY160">
        <v>1</v>
      </c>
      <c r="AZ160">
        <v>0</v>
      </c>
      <c r="BA160">
        <v>156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CX160">
        <f>Y160*Source!I208</f>
        <v>2.6</v>
      </c>
      <c r="CY160">
        <f t="shared" si="18"/>
        <v>75026.559999999998</v>
      </c>
      <c r="CZ160">
        <f t="shared" si="19"/>
        <v>75026.559999999998</v>
      </c>
      <c r="DA160">
        <f t="shared" si="20"/>
        <v>1</v>
      </c>
      <c r="DB160">
        <f t="shared" si="16"/>
        <v>75026.559999999998</v>
      </c>
      <c r="DC160">
        <f t="shared" si="17"/>
        <v>0</v>
      </c>
    </row>
    <row r="161" spans="1:107" x14ac:dyDescent="0.2">
      <c r="A161">
        <f>ROW(Source!A208)</f>
        <v>208</v>
      </c>
      <c r="B161">
        <v>38799519</v>
      </c>
      <c r="C161">
        <v>38800786</v>
      </c>
      <c r="D161">
        <v>0</v>
      </c>
      <c r="E161">
        <v>0</v>
      </c>
      <c r="F161">
        <v>1</v>
      </c>
      <c r="G161">
        <v>27</v>
      </c>
      <c r="H161">
        <v>3</v>
      </c>
      <c r="I161" t="s">
        <v>196</v>
      </c>
      <c r="J161" t="s">
        <v>3</v>
      </c>
      <c r="K161" t="s">
        <v>197</v>
      </c>
      <c r="L161">
        <v>1354</v>
      </c>
      <c r="N161">
        <v>1010</v>
      </c>
      <c r="O161" t="s">
        <v>198</v>
      </c>
      <c r="P161" t="s">
        <v>198</v>
      </c>
      <c r="Q161">
        <v>1</v>
      </c>
      <c r="W161">
        <v>0</v>
      </c>
      <c r="X161">
        <v>362208123</v>
      </c>
      <c r="Y161">
        <v>1.538462</v>
      </c>
      <c r="AA161">
        <v>12083.33</v>
      </c>
      <c r="AB161">
        <v>0</v>
      </c>
      <c r="AC161">
        <v>0</v>
      </c>
      <c r="AD161">
        <v>0</v>
      </c>
      <c r="AE161">
        <v>12083.33</v>
      </c>
      <c r="AF161">
        <v>0</v>
      </c>
      <c r="AG161">
        <v>0</v>
      </c>
      <c r="AH161">
        <v>0</v>
      </c>
      <c r="AI161">
        <v>1</v>
      </c>
      <c r="AJ161">
        <v>1</v>
      </c>
      <c r="AK161">
        <v>1</v>
      </c>
      <c r="AL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 t="s">
        <v>3</v>
      </c>
      <c r="AT161">
        <v>1.538462</v>
      </c>
      <c r="AU161" t="s">
        <v>3</v>
      </c>
      <c r="AV161">
        <v>0</v>
      </c>
      <c r="AW161">
        <v>1</v>
      </c>
      <c r="AX161">
        <v>-1</v>
      </c>
      <c r="AY161">
        <v>0</v>
      </c>
      <c r="AZ161">
        <v>0</v>
      </c>
      <c r="BA161" t="s">
        <v>3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CX161">
        <f>Y161*Source!I208</f>
        <v>4.0000011999999998</v>
      </c>
      <c r="CY161">
        <f t="shared" si="18"/>
        <v>12083.33</v>
      </c>
      <c r="CZ161">
        <f t="shared" si="19"/>
        <v>12083.33</v>
      </c>
      <c r="DA161">
        <f t="shared" si="20"/>
        <v>1</v>
      </c>
      <c r="DB161">
        <f t="shared" si="16"/>
        <v>18589.740000000002</v>
      </c>
      <c r="DC161">
        <f t="shared" si="17"/>
        <v>0</v>
      </c>
    </row>
    <row r="162" spans="1:107" x14ac:dyDescent="0.2">
      <c r="A162">
        <f>ROW(Source!A208)</f>
        <v>208</v>
      </c>
      <c r="B162">
        <v>38799519</v>
      </c>
      <c r="C162">
        <v>38800786</v>
      </c>
      <c r="D162">
        <v>0</v>
      </c>
      <c r="E162">
        <v>0</v>
      </c>
      <c r="F162">
        <v>1</v>
      </c>
      <c r="G162">
        <v>27</v>
      </c>
      <c r="H162">
        <v>3</v>
      </c>
      <c r="I162" t="s">
        <v>196</v>
      </c>
      <c r="J162" t="s">
        <v>3</v>
      </c>
      <c r="K162" t="s">
        <v>202</v>
      </c>
      <c r="L162">
        <v>1354</v>
      </c>
      <c r="N162">
        <v>1010</v>
      </c>
      <c r="O162" t="s">
        <v>198</v>
      </c>
      <c r="P162" t="s">
        <v>198</v>
      </c>
      <c r="Q162">
        <v>1</v>
      </c>
      <c r="W162">
        <v>0</v>
      </c>
      <c r="X162">
        <v>1107057996</v>
      </c>
      <c r="Y162">
        <v>0.38461499999999998</v>
      </c>
      <c r="AA162">
        <v>97708.33</v>
      </c>
      <c r="AB162">
        <v>0</v>
      </c>
      <c r="AC162">
        <v>0</v>
      </c>
      <c r="AD162">
        <v>0</v>
      </c>
      <c r="AE162">
        <v>97708.33</v>
      </c>
      <c r="AF162">
        <v>0</v>
      </c>
      <c r="AG162">
        <v>0</v>
      </c>
      <c r="AH162">
        <v>0</v>
      </c>
      <c r="AI162">
        <v>1</v>
      </c>
      <c r="AJ162">
        <v>1</v>
      </c>
      <c r="AK162">
        <v>1</v>
      </c>
      <c r="AL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 t="s">
        <v>3</v>
      </c>
      <c r="AT162">
        <v>0.38461499999999998</v>
      </c>
      <c r="AU162" t="s">
        <v>3</v>
      </c>
      <c r="AV162">
        <v>0</v>
      </c>
      <c r="AW162">
        <v>1</v>
      </c>
      <c r="AX162">
        <v>-1</v>
      </c>
      <c r="AY162">
        <v>0</v>
      </c>
      <c r="AZ162">
        <v>0</v>
      </c>
      <c r="BA162" t="s">
        <v>3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CX162">
        <f>Y162*Source!I208</f>
        <v>0.99999899999999997</v>
      </c>
      <c r="CY162">
        <f t="shared" si="18"/>
        <v>97708.33</v>
      </c>
      <c r="CZ162">
        <f t="shared" si="19"/>
        <v>97708.33</v>
      </c>
      <c r="DA162">
        <f t="shared" si="20"/>
        <v>1</v>
      </c>
      <c r="DB162">
        <f t="shared" si="16"/>
        <v>37580.089999999997</v>
      </c>
      <c r="DC162">
        <f t="shared" si="17"/>
        <v>0</v>
      </c>
    </row>
    <row r="163" spans="1:107" x14ac:dyDescent="0.2">
      <c r="A163">
        <f>ROW(Source!A208)</f>
        <v>208</v>
      </c>
      <c r="B163">
        <v>38799519</v>
      </c>
      <c r="C163">
        <v>38800786</v>
      </c>
      <c r="D163">
        <v>0</v>
      </c>
      <c r="E163">
        <v>0</v>
      </c>
      <c r="F163">
        <v>1</v>
      </c>
      <c r="G163">
        <v>27</v>
      </c>
      <c r="H163">
        <v>3</v>
      </c>
      <c r="I163" t="s">
        <v>196</v>
      </c>
      <c r="J163" t="s">
        <v>3</v>
      </c>
      <c r="K163" t="s">
        <v>205</v>
      </c>
      <c r="L163">
        <v>1354</v>
      </c>
      <c r="N163">
        <v>1010</v>
      </c>
      <c r="O163" t="s">
        <v>198</v>
      </c>
      <c r="P163" t="s">
        <v>198</v>
      </c>
      <c r="Q163">
        <v>1</v>
      </c>
      <c r="W163">
        <v>0</v>
      </c>
      <c r="X163">
        <v>1764557469</v>
      </c>
      <c r="Y163">
        <v>0.38461499999999998</v>
      </c>
      <c r="AA163">
        <v>7083.33</v>
      </c>
      <c r="AB163">
        <v>0</v>
      </c>
      <c r="AC163">
        <v>0</v>
      </c>
      <c r="AD163">
        <v>0</v>
      </c>
      <c r="AE163">
        <v>7083.33</v>
      </c>
      <c r="AF163">
        <v>0</v>
      </c>
      <c r="AG163">
        <v>0</v>
      </c>
      <c r="AH163">
        <v>0</v>
      </c>
      <c r="AI163">
        <v>1</v>
      </c>
      <c r="AJ163">
        <v>1</v>
      </c>
      <c r="AK163">
        <v>1</v>
      </c>
      <c r="AL163">
        <v>1</v>
      </c>
      <c r="AN163">
        <v>0</v>
      </c>
      <c r="AO163">
        <v>0</v>
      </c>
      <c r="AP163">
        <v>0</v>
      </c>
      <c r="AQ163">
        <v>0</v>
      </c>
      <c r="AR163">
        <v>0</v>
      </c>
      <c r="AS163" t="s">
        <v>3</v>
      </c>
      <c r="AT163">
        <v>0.38461499999999998</v>
      </c>
      <c r="AU163" t="s">
        <v>3</v>
      </c>
      <c r="AV163">
        <v>0</v>
      </c>
      <c r="AW163">
        <v>1</v>
      </c>
      <c r="AX163">
        <v>-1</v>
      </c>
      <c r="AY163">
        <v>0</v>
      </c>
      <c r="AZ163">
        <v>0</v>
      </c>
      <c r="BA163" t="s">
        <v>3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CX163">
        <f>Y163*Source!I208</f>
        <v>0.99999899999999997</v>
      </c>
      <c r="CY163">
        <f t="shared" si="18"/>
        <v>7083.33</v>
      </c>
      <c r="CZ163">
        <f t="shared" si="19"/>
        <v>7083.33</v>
      </c>
      <c r="DA163">
        <f t="shared" si="20"/>
        <v>1</v>
      </c>
      <c r="DB163">
        <f t="shared" si="16"/>
        <v>2724.35</v>
      </c>
      <c r="DC163">
        <f t="shared" si="17"/>
        <v>0</v>
      </c>
    </row>
    <row r="164" spans="1:107" x14ac:dyDescent="0.2">
      <c r="A164">
        <f>ROW(Source!A208)</f>
        <v>208</v>
      </c>
      <c r="B164">
        <v>38799519</v>
      </c>
      <c r="C164">
        <v>38800786</v>
      </c>
      <c r="D164">
        <v>0</v>
      </c>
      <c r="E164">
        <v>0</v>
      </c>
      <c r="F164">
        <v>1</v>
      </c>
      <c r="G164">
        <v>27</v>
      </c>
      <c r="H164">
        <v>3</v>
      </c>
      <c r="I164" t="s">
        <v>196</v>
      </c>
      <c r="J164" t="s">
        <v>3</v>
      </c>
      <c r="K164" t="s">
        <v>208</v>
      </c>
      <c r="L164">
        <v>1354</v>
      </c>
      <c r="N164">
        <v>1010</v>
      </c>
      <c r="O164" t="s">
        <v>198</v>
      </c>
      <c r="P164" t="s">
        <v>198</v>
      </c>
      <c r="Q164">
        <v>1</v>
      </c>
      <c r="W164">
        <v>0</v>
      </c>
      <c r="X164">
        <v>-1578162312</v>
      </c>
      <c r="Y164">
        <v>0.769231</v>
      </c>
      <c r="AA164">
        <v>29291.67</v>
      </c>
      <c r="AB164">
        <v>0</v>
      </c>
      <c r="AC164">
        <v>0</v>
      </c>
      <c r="AD164">
        <v>0</v>
      </c>
      <c r="AE164">
        <v>29291.67</v>
      </c>
      <c r="AF164">
        <v>0</v>
      </c>
      <c r="AG164">
        <v>0</v>
      </c>
      <c r="AH164">
        <v>0</v>
      </c>
      <c r="AI164">
        <v>1</v>
      </c>
      <c r="AJ164">
        <v>1</v>
      </c>
      <c r="AK164">
        <v>1</v>
      </c>
      <c r="AL164">
        <v>1</v>
      </c>
      <c r="AN164">
        <v>0</v>
      </c>
      <c r="AO164">
        <v>0</v>
      </c>
      <c r="AP164">
        <v>0</v>
      </c>
      <c r="AQ164">
        <v>0</v>
      </c>
      <c r="AR164">
        <v>0</v>
      </c>
      <c r="AS164" t="s">
        <v>3</v>
      </c>
      <c r="AT164">
        <v>0.769231</v>
      </c>
      <c r="AU164" t="s">
        <v>3</v>
      </c>
      <c r="AV164">
        <v>0</v>
      </c>
      <c r="AW164">
        <v>1</v>
      </c>
      <c r="AX164">
        <v>-1</v>
      </c>
      <c r="AY164">
        <v>0</v>
      </c>
      <c r="AZ164">
        <v>0</v>
      </c>
      <c r="BA164" t="s">
        <v>3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CX164">
        <f>Y164*Source!I208</f>
        <v>2.0000005999999999</v>
      </c>
      <c r="CY164">
        <f t="shared" si="18"/>
        <v>29291.67</v>
      </c>
      <c r="CZ164">
        <f t="shared" si="19"/>
        <v>29291.67</v>
      </c>
      <c r="DA164">
        <f t="shared" si="20"/>
        <v>1</v>
      </c>
      <c r="DB164">
        <f t="shared" si="16"/>
        <v>22532.06</v>
      </c>
      <c r="DC164">
        <f t="shared" si="17"/>
        <v>0</v>
      </c>
    </row>
    <row r="165" spans="1:107" x14ac:dyDescent="0.2">
      <c r="A165">
        <f>ROW(Source!A208)</f>
        <v>208</v>
      </c>
      <c r="B165">
        <v>38799519</v>
      </c>
      <c r="C165">
        <v>38800786</v>
      </c>
      <c r="D165">
        <v>0</v>
      </c>
      <c r="E165">
        <v>0</v>
      </c>
      <c r="F165">
        <v>1</v>
      </c>
      <c r="G165">
        <v>27</v>
      </c>
      <c r="H165">
        <v>3</v>
      </c>
      <c r="I165" t="s">
        <v>196</v>
      </c>
      <c r="J165" t="s">
        <v>3</v>
      </c>
      <c r="K165" t="s">
        <v>211</v>
      </c>
      <c r="L165">
        <v>1354</v>
      </c>
      <c r="N165">
        <v>1010</v>
      </c>
      <c r="O165" t="s">
        <v>198</v>
      </c>
      <c r="P165" t="s">
        <v>198</v>
      </c>
      <c r="Q165">
        <v>1</v>
      </c>
      <c r="W165">
        <v>0</v>
      </c>
      <c r="X165">
        <v>-1534509924</v>
      </c>
      <c r="Y165">
        <v>0.38461499999999998</v>
      </c>
      <c r="AA165">
        <v>15000</v>
      </c>
      <c r="AB165">
        <v>0</v>
      </c>
      <c r="AC165">
        <v>0</v>
      </c>
      <c r="AD165">
        <v>0</v>
      </c>
      <c r="AE165">
        <v>15000</v>
      </c>
      <c r="AF165">
        <v>0</v>
      </c>
      <c r="AG165">
        <v>0</v>
      </c>
      <c r="AH165">
        <v>0</v>
      </c>
      <c r="AI165">
        <v>1</v>
      </c>
      <c r="AJ165">
        <v>1</v>
      </c>
      <c r="AK165">
        <v>1</v>
      </c>
      <c r="AL165">
        <v>1</v>
      </c>
      <c r="AN165">
        <v>0</v>
      </c>
      <c r="AO165">
        <v>0</v>
      </c>
      <c r="AP165">
        <v>0</v>
      </c>
      <c r="AQ165">
        <v>0</v>
      </c>
      <c r="AR165">
        <v>0</v>
      </c>
      <c r="AS165" t="s">
        <v>3</v>
      </c>
      <c r="AT165">
        <v>0.38461499999999998</v>
      </c>
      <c r="AU165" t="s">
        <v>3</v>
      </c>
      <c r="AV165">
        <v>0</v>
      </c>
      <c r="AW165">
        <v>1</v>
      </c>
      <c r="AX165">
        <v>-1</v>
      </c>
      <c r="AY165">
        <v>0</v>
      </c>
      <c r="AZ165">
        <v>0</v>
      </c>
      <c r="BA165" t="s">
        <v>3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CX165">
        <f>Y165*Source!I208</f>
        <v>0.99999899999999997</v>
      </c>
      <c r="CY165">
        <f t="shared" si="18"/>
        <v>15000</v>
      </c>
      <c r="CZ165">
        <f t="shared" si="19"/>
        <v>15000</v>
      </c>
      <c r="DA165">
        <f t="shared" si="20"/>
        <v>1</v>
      </c>
      <c r="DB165">
        <f t="shared" si="16"/>
        <v>5769.23</v>
      </c>
      <c r="DC165">
        <f t="shared" si="17"/>
        <v>0</v>
      </c>
    </row>
    <row r="166" spans="1:107" x14ac:dyDescent="0.2">
      <c r="A166">
        <f>ROW(Source!A208)</f>
        <v>208</v>
      </c>
      <c r="B166">
        <v>38799519</v>
      </c>
      <c r="C166">
        <v>38800786</v>
      </c>
      <c r="D166">
        <v>0</v>
      </c>
      <c r="E166">
        <v>0</v>
      </c>
      <c r="F166">
        <v>1</v>
      </c>
      <c r="G166">
        <v>27</v>
      </c>
      <c r="H166">
        <v>3</v>
      </c>
      <c r="I166" t="s">
        <v>196</v>
      </c>
      <c r="J166" t="s">
        <v>3</v>
      </c>
      <c r="K166" t="s">
        <v>214</v>
      </c>
      <c r="L166">
        <v>1354</v>
      </c>
      <c r="N166">
        <v>1010</v>
      </c>
      <c r="O166" t="s">
        <v>198</v>
      </c>
      <c r="P166" t="s">
        <v>198</v>
      </c>
      <c r="Q166">
        <v>1</v>
      </c>
      <c r="W166">
        <v>0</v>
      </c>
      <c r="X166">
        <v>1349994108</v>
      </c>
      <c r="Y166">
        <v>0.38461499999999998</v>
      </c>
      <c r="AA166">
        <v>15000</v>
      </c>
      <c r="AB166">
        <v>0</v>
      </c>
      <c r="AC166">
        <v>0</v>
      </c>
      <c r="AD166">
        <v>0</v>
      </c>
      <c r="AE166">
        <v>15000</v>
      </c>
      <c r="AF166">
        <v>0</v>
      </c>
      <c r="AG166">
        <v>0</v>
      </c>
      <c r="AH166">
        <v>0</v>
      </c>
      <c r="AI166">
        <v>1</v>
      </c>
      <c r="AJ166">
        <v>1</v>
      </c>
      <c r="AK166">
        <v>1</v>
      </c>
      <c r="AL166">
        <v>1</v>
      </c>
      <c r="AN166">
        <v>0</v>
      </c>
      <c r="AO166">
        <v>0</v>
      </c>
      <c r="AP166">
        <v>0</v>
      </c>
      <c r="AQ166">
        <v>0</v>
      </c>
      <c r="AR166">
        <v>0</v>
      </c>
      <c r="AS166" t="s">
        <v>3</v>
      </c>
      <c r="AT166">
        <v>0.38461499999999998</v>
      </c>
      <c r="AU166" t="s">
        <v>3</v>
      </c>
      <c r="AV166">
        <v>0</v>
      </c>
      <c r="AW166">
        <v>1</v>
      </c>
      <c r="AX166">
        <v>-1</v>
      </c>
      <c r="AY166">
        <v>0</v>
      </c>
      <c r="AZ166">
        <v>0</v>
      </c>
      <c r="BA166" t="s">
        <v>3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CX166">
        <f>Y166*Source!I208</f>
        <v>0.99999899999999997</v>
      </c>
      <c r="CY166">
        <f t="shared" si="18"/>
        <v>15000</v>
      </c>
      <c r="CZ166">
        <f t="shared" si="19"/>
        <v>15000</v>
      </c>
      <c r="DA166">
        <f t="shared" si="20"/>
        <v>1</v>
      </c>
      <c r="DB166">
        <f t="shared" si="16"/>
        <v>5769.23</v>
      </c>
      <c r="DC166">
        <f t="shared" si="17"/>
        <v>0</v>
      </c>
    </row>
    <row r="167" spans="1:107" x14ac:dyDescent="0.2">
      <c r="A167">
        <f>ROW(Source!A208)</f>
        <v>208</v>
      </c>
      <c r="B167">
        <v>38799519</v>
      </c>
      <c r="C167">
        <v>38800786</v>
      </c>
      <c r="D167">
        <v>0</v>
      </c>
      <c r="E167">
        <v>0</v>
      </c>
      <c r="F167">
        <v>1</v>
      </c>
      <c r="G167">
        <v>27</v>
      </c>
      <c r="H167">
        <v>3</v>
      </c>
      <c r="I167" t="s">
        <v>196</v>
      </c>
      <c r="J167" t="s">
        <v>3</v>
      </c>
      <c r="K167" t="s">
        <v>216</v>
      </c>
      <c r="L167">
        <v>1354</v>
      </c>
      <c r="N167">
        <v>1010</v>
      </c>
      <c r="O167" t="s">
        <v>198</v>
      </c>
      <c r="P167" t="s">
        <v>198</v>
      </c>
      <c r="Q167">
        <v>1</v>
      </c>
      <c r="W167">
        <v>0</v>
      </c>
      <c r="X167">
        <v>788132825</v>
      </c>
      <c r="Y167">
        <v>0.38461499999999998</v>
      </c>
      <c r="AA167">
        <v>15750</v>
      </c>
      <c r="AB167">
        <v>0</v>
      </c>
      <c r="AC167">
        <v>0</v>
      </c>
      <c r="AD167">
        <v>0</v>
      </c>
      <c r="AE167">
        <v>15750</v>
      </c>
      <c r="AF167">
        <v>0</v>
      </c>
      <c r="AG167">
        <v>0</v>
      </c>
      <c r="AH167">
        <v>0</v>
      </c>
      <c r="AI167">
        <v>1</v>
      </c>
      <c r="AJ167">
        <v>1</v>
      </c>
      <c r="AK167">
        <v>1</v>
      </c>
      <c r="AL167">
        <v>1</v>
      </c>
      <c r="AN167">
        <v>0</v>
      </c>
      <c r="AO167">
        <v>0</v>
      </c>
      <c r="AP167">
        <v>0</v>
      </c>
      <c r="AQ167">
        <v>0</v>
      </c>
      <c r="AR167">
        <v>0</v>
      </c>
      <c r="AS167" t="s">
        <v>3</v>
      </c>
      <c r="AT167">
        <v>0.38461499999999998</v>
      </c>
      <c r="AU167" t="s">
        <v>3</v>
      </c>
      <c r="AV167">
        <v>0</v>
      </c>
      <c r="AW167">
        <v>1</v>
      </c>
      <c r="AX167">
        <v>-1</v>
      </c>
      <c r="AY167">
        <v>0</v>
      </c>
      <c r="AZ167">
        <v>0</v>
      </c>
      <c r="BA167" t="s">
        <v>3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CX167">
        <f>Y167*Source!I208</f>
        <v>0.99999899999999997</v>
      </c>
      <c r="CY167">
        <f t="shared" si="18"/>
        <v>15750</v>
      </c>
      <c r="CZ167">
        <f t="shared" si="19"/>
        <v>15750</v>
      </c>
      <c r="DA167">
        <f t="shared" si="20"/>
        <v>1</v>
      </c>
      <c r="DB167">
        <f t="shared" si="16"/>
        <v>6057.69</v>
      </c>
      <c r="DC167">
        <f t="shared" si="17"/>
        <v>0</v>
      </c>
    </row>
    <row r="168" spans="1:107" x14ac:dyDescent="0.2">
      <c r="A168">
        <f>ROW(Source!A208)</f>
        <v>208</v>
      </c>
      <c r="B168">
        <v>38799519</v>
      </c>
      <c r="C168">
        <v>38800786</v>
      </c>
      <c r="D168">
        <v>0</v>
      </c>
      <c r="E168">
        <v>0</v>
      </c>
      <c r="F168">
        <v>1</v>
      </c>
      <c r="G168">
        <v>27</v>
      </c>
      <c r="H168">
        <v>3</v>
      </c>
      <c r="I168" t="s">
        <v>196</v>
      </c>
      <c r="J168" t="s">
        <v>3</v>
      </c>
      <c r="K168" t="s">
        <v>219</v>
      </c>
      <c r="L168">
        <v>1354</v>
      </c>
      <c r="N168">
        <v>1010</v>
      </c>
      <c r="O168" t="s">
        <v>198</v>
      </c>
      <c r="P168" t="s">
        <v>198</v>
      </c>
      <c r="Q168">
        <v>1</v>
      </c>
      <c r="W168">
        <v>0</v>
      </c>
      <c r="X168">
        <v>382300892</v>
      </c>
      <c r="Y168">
        <v>0.38461499999999998</v>
      </c>
      <c r="AA168">
        <v>23750</v>
      </c>
      <c r="AB168">
        <v>0</v>
      </c>
      <c r="AC168">
        <v>0</v>
      </c>
      <c r="AD168">
        <v>0</v>
      </c>
      <c r="AE168">
        <v>23750</v>
      </c>
      <c r="AF168">
        <v>0</v>
      </c>
      <c r="AG168">
        <v>0</v>
      </c>
      <c r="AH168">
        <v>0</v>
      </c>
      <c r="AI168">
        <v>1</v>
      </c>
      <c r="AJ168">
        <v>1</v>
      </c>
      <c r="AK168">
        <v>1</v>
      </c>
      <c r="AL168">
        <v>1</v>
      </c>
      <c r="AN168">
        <v>0</v>
      </c>
      <c r="AO168">
        <v>0</v>
      </c>
      <c r="AP168">
        <v>0</v>
      </c>
      <c r="AQ168">
        <v>0</v>
      </c>
      <c r="AR168">
        <v>0</v>
      </c>
      <c r="AS168" t="s">
        <v>3</v>
      </c>
      <c r="AT168">
        <v>0.38461499999999998</v>
      </c>
      <c r="AU168" t="s">
        <v>3</v>
      </c>
      <c r="AV168">
        <v>0</v>
      </c>
      <c r="AW168">
        <v>1</v>
      </c>
      <c r="AX168">
        <v>-1</v>
      </c>
      <c r="AY168">
        <v>0</v>
      </c>
      <c r="AZ168">
        <v>0</v>
      </c>
      <c r="BA168" t="s">
        <v>3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CX168">
        <f>Y168*Source!I208</f>
        <v>0.99999899999999997</v>
      </c>
      <c r="CY168">
        <f t="shared" si="18"/>
        <v>23750</v>
      </c>
      <c r="CZ168">
        <f t="shared" si="19"/>
        <v>23750</v>
      </c>
      <c r="DA168">
        <f t="shared" si="20"/>
        <v>1</v>
      </c>
      <c r="DB168">
        <f t="shared" si="16"/>
        <v>9134.61</v>
      </c>
      <c r="DC168">
        <f t="shared" si="17"/>
        <v>0</v>
      </c>
    </row>
    <row r="169" spans="1:107" x14ac:dyDescent="0.2">
      <c r="A169">
        <f>ROW(Source!A208)</f>
        <v>208</v>
      </c>
      <c r="B169">
        <v>38799519</v>
      </c>
      <c r="C169">
        <v>38800786</v>
      </c>
      <c r="D169">
        <v>0</v>
      </c>
      <c r="E169">
        <v>0</v>
      </c>
      <c r="F169">
        <v>1</v>
      </c>
      <c r="G169">
        <v>27</v>
      </c>
      <c r="H169">
        <v>3</v>
      </c>
      <c r="I169" t="s">
        <v>196</v>
      </c>
      <c r="J169" t="s">
        <v>3</v>
      </c>
      <c r="K169" t="s">
        <v>222</v>
      </c>
      <c r="L169">
        <v>1354</v>
      </c>
      <c r="N169">
        <v>1010</v>
      </c>
      <c r="O169" t="s">
        <v>198</v>
      </c>
      <c r="P169" t="s">
        <v>198</v>
      </c>
      <c r="Q169">
        <v>1</v>
      </c>
      <c r="W169">
        <v>0</v>
      </c>
      <c r="X169">
        <v>324752368</v>
      </c>
      <c r="Y169">
        <v>0.38461499999999998</v>
      </c>
      <c r="AA169">
        <v>10375</v>
      </c>
      <c r="AB169">
        <v>0</v>
      </c>
      <c r="AC169">
        <v>0</v>
      </c>
      <c r="AD169">
        <v>0</v>
      </c>
      <c r="AE169">
        <v>10375</v>
      </c>
      <c r="AF169">
        <v>0</v>
      </c>
      <c r="AG169">
        <v>0</v>
      </c>
      <c r="AH169">
        <v>0</v>
      </c>
      <c r="AI169">
        <v>1</v>
      </c>
      <c r="AJ169">
        <v>1</v>
      </c>
      <c r="AK169">
        <v>1</v>
      </c>
      <c r="AL169">
        <v>1</v>
      </c>
      <c r="AN169">
        <v>0</v>
      </c>
      <c r="AO169">
        <v>0</v>
      </c>
      <c r="AP169">
        <v>0</v>
      </c>
      <c r="AQ169">
        <v>0</v>
      </c>
      <c r="AR169">
        <v>0</v>
      </c>
      <c r="AS169" t="s">
        <v>3</v>
      </c>
      <c r="AT169">
        <v>0.38461499999999998</v>
      </c>
      <c r="AU169" t="s">
        <v>3</v>
      </c>
      <c r="AV169">
        <v>0</v>
      </c>
      <c r="AW169">
        <v>1</v>
      </c>
      <c r="AX169">
        <v>-1</v>
      </c>
      <c r="AY169">
        <v>0</v>
      </c>
      <c r="AZ169">
        <v>0</v>
      </c>
      <c r="BA169" t="s">
        <v>3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CX169">
        <f>Y169*Source!I208</f>
        <v>0.99999899999999997</v>
      </c>
      <c r="CY169">
        <f t="shared" si="18"/>
        <v>10375</v>
      </c>
      <c r="CZ169">
        <f t="shared" si="19"/>
        <v>10375</v>
      </c>
      <c r="DA169">
        <f t="shared" si="20"/>
        <v>1</v>
      </c>
      <c r="DB169">
        <f t="shared" si="16"/>
        <v>3990.38</v>
      </c>
      <c r="DC169">
        <f t="shared" si="17"/>
        <v>0</v>
      </c>
    </row>
    <row r="170" spans="1:107" x14ac:dyDescent="0.2">
      <c r="A170">
        <f>ROW(Source!A208)</f>
        <v>208</v>
      </c>
      <c r="B170">
        <v>38799519</v>
      </c>
      <c r="C170">
        <v>38800786</v>
      </c>
      <c r="D170">
        <v>0</v>
      </c>
      <c r="E170">
        <v>0</v>
      </c>
      <c r="F170">
        <v>1</v>
      </c>
      <c r="G170">
        <v>27</v>
      </c>
      <c r="H170">
        <v>3</v>
      </c>
      <c r="I170" t="s">
        <v>196</v>
      </c>
      <c r="J170" t="s">
        <v>3</v>
      </c>
      <c r="K170" t="s">
        <v>225</v>
      </c>
      <c r="L170">
        <v>1354</v>
      </c>
      <c r="N170">
        <v>1010</v>
      </c>
      <c r="O170" t="s">
        <v>198</v>
      </c>
      <c r="P170" t="s">
        <v>198</v>
      </c>
      <c r="Q170">
        <v>1</v>
      </c>
      <c r="W170">
        <v>0</v>
      </c>
      <c r="X170">
        <v>-2034876485</v>
      </c>
      <c r="Y170">
        <v>0.38461499999999998</v>
      </c>
      <c r="AA170">
        <v>10375</v>
      </c>
      <c r="AB170">
        <v>0</v>
      </c>
      <c r="AC170">
        <v>0</v>
      </c>
      <c r="AD170">
        <v>0</v>
      </c>
      <c r="AE170">
        <v>10375</v>
      </c>
      <c r="AF170">
        <v>0</v>
      </c>
      <c r="AG170">
        <v>0</v>
      </c>
      <c r="AH170">
        <v>0</v>
      </c>
      <c r="AI170">
        <v>1</v>
      </c>
      <c r="AJ170">
        <v>1</v>
      </c>
      <c r="AK170">
        <v>1</v>
      </c>
      <c r="AL170">
        <v>1</v>
      </c>
      <c r="AN170">
        <v>0</v>
      </c>
      <c r="AO170">
        <v>0</v>
      </c>
      <c r="AP170">
        <v>0</v>
      </c>
      <c r="AQ170">
        <v>0</v>
      </c>
      <c r="AR170">
        <v>0</v>
      </c>
      <c r="AS170" t="s">
        <v>3</v>
      </c>
      <c r="AT170">
        <v>0.38461499999999998</v>
      </c>
      <c r="AU170" t="s">
        <v>3</v>
      </c>
      <c r="AV170">
        <v>0</v>
      </c>
      <c r="AW170">
        <v>1</v>
      </c>
      <c r="AX170">
        <v>-1</v>
      </c>
      <c r="AY170">
        <v>0</v>
      </c>
      <c r="AZ170">
        <v>0</v>
      </c>
      <c r="BA170" t="s">
        <v>3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CX170">
        <f>Y170*Source!I208</f>
        <v>0.99999899999999997</v>
      </c>
      <c r="CY170">
        <f t="shared" si="18"/>
        <v>10375</v>
      </c>
      <c r="CZ170">
        <f t="shared" si="19"/>
        <v>10375</v>
      </c>
      <c r="DA170">
        <f t="shared" si="20"/>
        <v>1</v>
      </c>
      <c r="DB170">
        <f t="shared" si="16"/>
        <v>3990.38</v>
      </c>
      <c r="DC170">
        <f t="shared" si="17"/>
        <v>0</v>
      </c>
    </row>
    <row r="171" spans="1:107" x14ac:dyDescent="0.2">
      <c r="A171">
        <f>ROW(Source!A208)</f>
        <v>208</v>
      </c>
      <c r="B171">
        <v>38799519</v>
      </c>
      <c r="C171">
        <v>38800786</v>
      </c>
      <c r="D171">
        <v>0</v>
      </c>
      <c r="E171">
        <v>0</v>
      </c>
      <c r="F171">
        <v>1</v>
      </c>
      <c r="G171">
        <v>27</v>
      </c>
      <c r="H171">
        <v>3</v>
      </c>
      <c r="I171" t="s">
        <v>196</v>
      </c>
      <c r="J171" t="s">
        <v>3</v>
      </c>
      <c r="K171" t="s">
        <v>227</v>
      </c>
      <c r="L171">
        <v>1354</v>
      </c>
      <c r="N171">
        <v>1010</v>
      </c>
      <c r="O171" t="s">
        <v>198</v>
      </c>
      <c r="P171" t="s">
        <v>198</v>
      </c>
      <c r="Q171">
        <v>1</v>
      </c>
      <c r="W171">
        <v>0</v>
      </c>
      <c r="X171">
        <v>-468958534</v>
      </c>
      <c r="Y171">
        <v>0.38461499999999998</v>
      </c>
      <c r="AA171">
        <v>6208.33</v>
      </c>
      <c r="AB171">
        <v>0</v>
      </c>
      <c r="AC171">
        <v>0</v>
      </c>
      <c r="AD171">
        <v>0</v>
      </c>
      <c r="AE171">
        <v>6208.33</v>
      </c>
      <c r="AF171">
        <v>0</v>
      </c>
      <c r="AG171">
        <v>0</v>
      </c>
      <c r="AH171">
        <v>0</v>
      </c>
      <c r="AI171">
        <v>1</v>
      </c>
      <c r="AJ171">
        <v>1</v>
      </c>
      <c r="AK171">
        <v>1</v>
      </c>
      <c r="AL171">
        <v>1</v>
      </c>
      <c r="AN171">
        <v>0</v>
      </c>
      <c r="AO171">
        <v>0</v>
      </c>
      <c r="AP171">
        <v>0</v>
      </c>
      <c r="AQ171">
        <v>0</v>
      </c>
      <c r="AR171">
        <v>0</v>
      </c>
      <c r="AS171" t="s">
        <v>3</v>
      </c>
      <c r="AT171">
        <v>0.38461499999999998</v>
      </c>
      <c r="AU171" t="s">
        <v>3</v>
      </c>
      <c r="AV171">
        <v>0</v>
      </c>
      <c r="AW171">
        <v>1</v>
      </c>
      <c r="AX171">
        <v>-1</v>
      </c>
      <c r="AY171">
        <v>0</v>
      </c>
      <c r="AZ171">
        <v>0</v>
      </c>
      <c r="BA171" t="s">
        <v>3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CX171">
        <f>Y171*Source!I208</f>
        <v>0.99999899999999997</v>
      </c>
      <c r="CY171">
        <f t="shared" si="18"/>
        <v>6208.33</v>
      </c>
      <c r="CZ171">
        <f t="shared" si="19"/>
        <v>6208.33</v>
      </c>
      <c r="DA171">
        <f t="shared" si="20"/>
        <v>1</v>
      </c>
      <c r="DB171">
        <f t="shared" si="16"/>
        <v>2387.8200000000002</v>
      </c>
      <c r="DC171">
        <f t="shared" si="17"/>
        <v>0</v>
      </c>
    </row>
    <row r="172" spans="1:107" x14ac:dyDescent="0.2">
      <c r="A172">
        <f>ROW(Source!A208)</f>
        <v>208</v>
      </c>
      <c r="B172">
        <v>38799519</v>
      </c>
      <c r="C172">
        <v>38800786</v>
      </c>
      <c r="D172">
        <v>0</v>
      </c>
      <c r="E172">
        <v>0</v>
      </c>
      <c r="F172">
        <v>1</v>
      </c>
      <c r="G172">
        <v>27</v>
      </c>
      <c r="H172">
        <v>3</v>
      </c>
      <c r="I172" t="s">
        <v>196</v>
      </c>
      <c r="J172" t="s">
        <v>3</v>
      </c>
      <c r="K172" t="s">
        <v>230</v>
      </c>
      <c r="L172">
        <v>1354</v>
      </c>
      <c r="N172">
        <v>1010</v>
      </c>
      <c r="O172" t="s">
        <v>198</v>
      </c>
      <c r="P172" t="s">
        <v>198</v>
      </c>
      <c r="Q172">
        <v>1</v>
      </c>
      <c r="W172">
        <v>0</v>
      </c>
      <c r="X172">
        <v>-1978890027</v>
      </c>
      <c r="Y172">
        <v>0.38461499999999998</v>
      </c>
      <c r="AA172">
        <v>6208.33</v>
      </c>
      <c r="AB172">
        <v>0</v>
      </c>
      <c r="AC172">
        <v>0</v>
      </c>
      <c r="AD172">
        <v>0</v>
      </c>
      <c r="AE172">
        <v>6208.33</v>
      </c>
      <c r="AF172">
        <v>0</v>
      </c>
      <c r="AG172">
        <v>0</v>
      </c>
      <c r="AH172">
        <v>0</v>
      </c>
      <c r="AI172">
        <v>1</v>
      </c>
      <c r="AJ172">
        <v>1</v>
      </c>
      <c r="AK172">
        <v>1</v>
      </c>
      <c r="AL172">
        <v>1</v>
      </c>
      <c r="AN172">
        <v>0</v>
      </c>
      <c r="AO172">
        <v>0</v>
      </c>
      <c r="AP172">
        <v>0</v>
      </c>
      <c r="AQ172">
        <v>0</v>
      </c>
      <c r="AR172">
        <v>0</v>
      </c>
      <c r="AS172" t="s">
        <v>3</v>
      </c>
      <c r="AT172">
        <v>0.38461499999999998</v>
      </c>
      <c r="AU172" t="s">
        <v>3</v>
      </c>
      <c r="AV172">
        <v>0</v>
      </c>
      <c r="AW172">
        <v>1</v>
      </c>
      <c r="AX172">
        <v>-1</v>
      </c>
      <c r="AY172">
        <v>0</v>
      </c>
      <c r="AZ172">
        <v>0</v>
      </c>
      <c r="BA172" t="s">
        <v>3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CX172">
        <f>Y172*Source!I208</f>
        <v>0.99999899999999997</v>
      </c>
      <c r="CY172">
        <f t="shared" si="18"/>
        <v>6208.33</v>
      </c>
      <c r="CZ172">
        <f t="shared" si="19"/>
        <v>6208.33</v>
      </c>
      <c r="DA172">
        <f t="shared" si="20"/>
        <v>1</v>
      </c>
      <c r="DB172">
        <f t="shared" si="16"/>
        <v>2387.8200000000002</v>
      </c>
      <c r="DC172">
        <f t="shared" si="17"/>
        <v>0</v>
      </c>
    </row>
    <row r="173" spans="1:107" x14ac:dyDescent="0.2">
      <c r="A173">
        <f>ROW(Source!A208)</f>
        <v>208</v>
      </c>
      <c r="B173">
        <v>38799519</v>
      </c>
      <c r="C173">
        <v>38800786</v>
      </c>
      <c r="D173">
        <v>0</v>
      </c>
      <c r="E173">
        <v>0</v>
      </c>
      <c r="F173">
        <v>1</v>
      </c>
      <c r="G173">
        <v>27</v>
      </c>
      <c r="H173">
        <v>3</v>
      </c>
      <c r="I173" t="s">
        <v>196</v>
      </c>
      <c r="J173" t="s">
        <v>3</v>
      </c>
      <c r="K173" t="s">
        <v>232</v>
      </c>
      <c r="L173">
        <v>1354</v>
      </c>
      <c r="N173">
        <v>1010</v>
      </c>
      <c r="O173" t="s">
        <v>198</v>
      </c>
      <c r="P173" t="s">
        <v>198</v>
      </c>
      <c r="Q173">
        <v>1</v>
      </c>
      <c r="W173">
        <v>0</v>
      </c>
      <c r="X173">
        <v>-1470213913</v>
      </c>
      <c r="Y173">
        <v>1.538462</v>
      </c>
      <c r="AA173">
        <v>10625</v>
      </c>
      <c r="AB173">
        <v>0</v>
      </c>
      <c r="AC173">
        <v>0</v>
      </c>
      <c r="AD173">
        <v>0</v>
      </c>
      <c r="AE173">
        <v>10625</v>
      </c>
      <c r="AF173">
        <v>0</v>
      </c>
      <c r="AG173">
        <v>0</v>
      </c>
      <c r="AH173">
        <v>0</v>
      </c>
      <c r="AI173">
        <v>1</v>
      </c>
      <c r="AJ173">
        <v>1</v>
      </c>
      <c r="AK173">
        <v>1</v>
      </c>
      <c r="AL173">
        <v>1</v>
      </c>
      <c r="AN173">
        <v>0</v>
      </c>
      <c r="AO173">
        <v>0</v>
      </c>
      <c r="AP173">
        <v>0</v>
      </c>
      <c r="AQ173">
        <v>0</v>
      </c>
      <c r="AR173">
        <v>0</v>
      </c>
      <c r="AS173" t="s">
        <v>3</v>
      </c>
      <c r="AT173">
        <v>1.538462</v>
      </c>
      <c r="AU173" t="s">
        <v>3</v>
      </c>
      <c r="AV173">
        <v>0</v>
      </c>
      <c r="AW173">
        <v>1</v>
      </c>
      <c r="AX173">
        <v>-1</v>
      </c>
      <c r="AY173">
        <v>0</v>
      </c>
      <c r="AZ173">
        <v>0</v>
      </c>
      <c r="BA173" t="s">
        <v>3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CX173">
        <f>Y173*Source!I208</f>
        <v>4.0000011999999998</v>
      </c>
      <c r="CY173">
        <f t="shared" si="18"/>
        <v>10625</v>
      </c>
      <c r="CZ173">
        <f t="shared" si="19"/>
        <v>10625</v>
      </c>
      <c r="DA173">
        <f t="shared" si="20"/>
        <v>1</v>
      </c>
      <c r="DB173">
        <f t="shared" si="16"/>
        <v>16346.16</v>
      </c>
      <c r="DC173">
        <f t="shared" si="17"/>
        <v>0</v>
      </c>
    </row>
    <row r="174" spans="1:107" x14ac:dyDescent="0.2">
      <c r="A174">
        <f>ROW(Source!A208)</f>
        <v>208</v>
      </c>
      <c r="B174">
        <v>38799519</v>
      </c>
      <c r="C174">
        <v>38800786</v>
      </c>
      <c r="D174">
        <v>0</v>
      </c>
      <c r="E174">
        <v>0</v>
      </c>
      <c r="F174">
        <v>1</v>
      </c>
      <c r="G174">
        <v>27</v>
      </c>
      <c r="H174">
        <v>3</v>
      </c>
      <c r="I174" t="s">
        <v>196</v>
      </c>
      <c r="J174" t="s">
        <v>3</v>
      </c>
      <c r="K174" t="s">
        <v>235</v>
      </c>
      <c r="L174">
        <v>1354</v>
      </c>
      <c r="N174">
        <v>1010</v>
      </c>
      <c r="O174" t="s">
        <v>198</v>
      </c>
      <c r="P174" t="s">
        <v>198</v>
      </c>
      <c r="Q174">
        <v>1</v>
      </c>
      <c r="W174">
        <v>0</v>
      </c>
      <c r="X174">
        <v>-1163931199</v>
      </c>
      <c r="Y174">
        <v>0.38461499999999998</v>
      </c>
      <c r="AA174">
        <v>33250</v>
      </c>
      <c r="AB174">
        <v>0</v>
      </c>
      <c r="AC174">
        <v>0</v>
      </c>
      <c r="AD174">
        <v>0</v>
      </c>
      <c r="AE174">
        <v>33250</v>
      </c>
      <c r="AF174">
        <v>0</v>
      </c>
      <c r="AG174">
        <v>0</v>
      </c>
      <c r="AH174">
        <v>0</v>
      </c>
      <c r="AI174">
        <v>1</v>
      </c>
      <c r="AJ174">
        <v>1</v>
      </c>
      <c r="AK174">
        <v>1</v>
      </c>
      <c r="AL174">
        <v>1</v>
      </c>
      <c r="AN174">
        <v>0</v>
      </c>
      <c r="AO174">
        <v>0</v>
      </c>
      <c r="AP174">
        <v>0</v>
      </c>
      <c r="AQ174">
        <v>0</v>
      </c>
      <c r="AR174">
        <v>0</v>
      </c>
      <c r="AS174" t="s">
        <v>3</v>
      </c>
      <c r="AT174">
        <v>0.38461499999999998</v>
      </c>
      <c r="AU174" t="s">
        <v>3</v>
      </c>
      <c r="AV174">
        <v>0</v>
      </c>
      <c r="AW174">
        <v>1</v>
      </c>
      <c r="AX174">
        <v>-1</v>
      </c>
      <c r="AY174">
        <v>0</v>
      </c>
      <c r="AZ174">
        <v>0</v>
      </c>
      <c r="BA174" t="s">
        <v>3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CX174">
        <f>Y174*Source!I208</f>
        <v>0.99999899999999997</v>
      </c>
      <c r="CY174">
        <f t="shared" si="18"/>
        <v>33250</v>
      </c>
      <c r="CZ174">
        <f t="shared" si="19"/>
        <v>33250</v>
      </c>
      <c r="DA174">
        <f t="shared" si="20"/>
        <v>1</v>
      </c>
      <c r="DB174">
        <f t="shared" si="16"/>
        <v>12788.45</v>
      </c>
      <c r="DC174">
        <f t="shared" si="17"/>
        <v>0</v>
      </c>
    </row>
    <row r="175" spans="1:107" x14ac:dyDescent="0.2">
      <c r="A175">
        <f>ROW(Source!A208)</f>
        <v>208</v>
      </c>
      <c r="B175">
        <v>38799519</v>
      </c>
      <c r="C175">
        <v>38800786</v>
      </c>
      <c r="D175">
        <v>0</v>
      </c>
      <c r="E175">
        <v>0</v>
      </c>
      <c r="F175">
        <v>1</v>
      </c>
      <c r="G175">
        <v>27</v>
      </c>
      <c r="H175">
        <v>3</v>
      </c>
      <c r="I175" t="s">
        <v>196</v>
      </c>
      <c r="J175" t="s">
        <v>3</v>
      </c>
      <c r="K175" t="s">
        <v>238</v>
      </c>
      <c r="L175">
        <v>1354</v>
      </c>
      <c r="N175">
        <v>1010</v>
      </c>
      <c r="O175" t="s">
        <v>198</v>
      </c>
      <c r="P175" t="s">
        <v>198</v>
      </c>
      <c r="Q175">
        <v>1</v>
      </c>
      <c r="W175">
        <v>0</v>
      </c>
      <c r="X175">
        <v>-64936516</v>
      </c>
      <c r="Y175">
        <v>0.38461499999999998</v>
      </c>
      <c r="AA175">
        <v>29916.67</v>
      </c>
      <c r="AB175">
        <v>0</v>
      </c>
      <c r="AC175">
        <v>0</v>
      </c>
      <c r="AD175">
        <v>0</v>
      </c>
      <c r="AE175">
        <v>29916.67</v>
      </c>
      <c r="AF175">
        <v>0</v>
      </c>
      <c r="AG175">
        <v>0</v>
      </c>
      <c r="AH175">
        <v>0</v>
      </c>
      <c r="AI175">
        <v>1</v>
      </c>
      <c r="AJ175">
        <v>1</v>
      </c>
      <c r="AK175">
        <v>1</v>
      </c>
      <c r="AL175">
        <v>1</v>
      </c>
      <c r="AN175">
        <v>0</v>
      </c>
      <c r="AO175">
        <v>0</v>
      </c>
      <c r="AP175">
        <v>0</v>
      </c>
      <c r="AQ175">
        <v>0</v>
      </c>
      <c r="AR175">
        <v>0</v>
      </c>
      <c r="AS175" t="s">
        <v>3</v>
      </c>
      <c r="AT175">
        <v>0.38461499999999998</v>
      </c>
      <c r="AU175" t="s">
        <v>3</v>
      </c>
      <c r="AV175">
        <v>0</v>
      </c>
      <c r="AW175">
        <v>1</v>
      </c>
      <c r="AX175">
        <v>-1</v>
      </c>
      <c r="AY175">
        <v>0</v>
      </c>
      <c r="AZ175">
        <v>0</v>
      </c>
      <c r="BA175" t="s">
        <v>3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CX175">
        <f>Y175*Source!I208</f>
        <v>0.99999899999999997</v>
      </c>
      <c r="CY175">
        <f t="shared" si="18"/>
        <v>29916.67</v>
      </c>
      <c r="CZ175">
        <f t="shared" si="19"/>
        <v>29916.67</v>
      </c>
      <c r="DA175">
        <f t="shared" si="20"/>
        <v>1</v>
      </c>
      <c r="DB175">
        <f t="shared" si="16"/>
        <v>11506.4</v>
      </c>
      <c r="DC175">
        <f t="shared" si="17"/>
        <v>0</v>
      </c>
    </row>
    <row r="176" spans="1:107" x14ac:dyDescent="0.2">
      <c r="A176">
        <f>ROW(Source!A208)</f>
        <v>208</v>
      </c>
      <c r="B176">
        <v>38799519</v>
      </c>
      <c r="C176">
        <v>38800786</v>
      </c>
      <c r="D176">
        <v>0</v>
      </c>
      <c r="E176">
        <v>0</v>
      </c>
      <c r="F176">
        <v>1</v>
      </c>
      <c r="G176">
        <v>27</v>
      </c>
      <c r="H176">
        <v>3</v>
      </c>
      <c r="I176" t="s">
        <v>196</v>
      </c>
      <c r="J176" t="s">
        <v>3</v>
      </c>
      <c r="K176" t="s">
        <v>241</v>
      </c>
      <c r="L176">
        <v>1354</v>
      </c>
      <c r="N176">
        <v>1010</v>
      </c>
      <c r="O176" t="s">
        <v>198</v>
      </c>
      <c r="P176" t="s">
        <v>198</v>
      </c>
      <c r="Q176">
        <v>1</v>
      </c>
      <c r="W176">
        <v>0</v>
      </c>
      <c r="X176">
        <v>-456930386</v>
      </c>
      <c r="Y176">
        <v>0.38461499999999998</v>
      </c>
      <c r="AA176">
        <v>33125</v>
      </c>
      <c r="AB176">
        <v>0</v>
      </c>
      <c r="AC176">
        <v>0</v>
      </c>
      <c r="AD176">
        <v>0</v>
      </c>
      <c r="AE176">
        <v>33125</v>
      </c>
      <c r="AF176">
        <v>0</v>
      </c>
      <c r="AG176">
        <v>0</v>
      </c>
      <c r="AH176">
        <v>0</v>
      </c>
      <c r="AI176">
        <v>1</v>
      </c>
      <c r="AJ176">
        <v>1</v>
      </c>
      <c r="AK176">
        <v>1</v>
      </c>
      <c r="AL176">
        <v>1</v>
      </c>
      <c r="AN176">
        <v>0</v>
      </c>
      <c r="AO176">
        <v>0</v>
      </c>
      <c r="AP176">
        <v>0</v>
      </c>
      <c r="AQ176">
        <v>0</v>
      </c>
      <c r="AR176">
        <v>0</v>
      </c>
      <c r="AS176" t="s">
        <v>3</v>
      </c>
      <c r="AT176">
        <v>0.38461499999999998</v>
      </c>
      <c r="AU176" t="s">
        <v>3</v>
      </c>
      <c r="AV176">
        <v>0</v>
      </c>
      <c r="AW176">
        <v>1</v>
      </c>
      <c r="AX176">
        <v>-1</v>
      </c>
      <c r="AY176">
        <v>0</v>
      </c>
      <c r="AZ176">
        <v>0</v>
      </c>
      <c r="BA176" t="s">
        <v>3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CX176">
        <f>Y176*Source!I208</f>
        <v>0.99999899999999997</v>
      </c>
      <c r="CY176">
        <f t="shared" si="18"/>
        <v>33125</v>
      </c>
      <c r="CZ176">
        <f t="shared" si="19"/>
        <v>33125</v>
      </c>
      <c r="DA176">
        <f t="shared" si="20"/>
        <v>1</v>
      </c>
      <c r="DB176">
        <f t="shared" si="16"/>
        <v>12740.37</v>
      </c>
      <c r="DC176">
        <f t="shared" si="17"/>
        <v>0</v>
      </c>
    </row>
    <row r="177" spans="1:107" x14ac:dyDescent="0.2">
      <c r="A177">
        <f>ROW(Source!A208)</f>
        <v>208</v>
      </c>
      <c r="B177">
        <v>38799519</v>
      </c>
      <c r="C177">
        <v>38800786</v>
      </c>
      <c r="D177">
        <v>0</v>
      </c>
      <c r="E177">
        <v>0</v>
      </c>
      <c r="F177">
        <v>1</v>
      </c>
      <c r="G177">
        <v>27</v>
      </c>
      <c r="H177">
        <v>3</v>
      </c>
      <c r="I177" t="s">
        <v>196</v>
      </c>
      <c r="J177" t="s">
        <v>3</v>
      </c>
      <c r="K177" t="s">
        <v>244</v>
      </c>
      <c r="L177">
        <v>1354</v>
      </c>
      <c r="N177">
        <v>1010</v>
      </c>
      <c r="O177" t="s">
        <v>198</v>
      </c>
      <c r="P177" t="s">
        <v>198</v>
      </c>
      <c r="Q177">
        <v>1</v>
      </c>
      <c r="W177">
        <v>0</v>
      </c>
      <c r="X177">
        <v>44827932</v>
      </c>
      <c r="Y177">
        <v>0.38461499999999998</v>
      </c>
      <c r="AA177">
        <v>28541.67</v>
      </c>
      <c r="AB177">
        <v>0</v>
      </c>
      <c r="AC177">
        <v>0</v>
      </c>
      <c r="AD177">
        <v>0</v>
      </c>
      <c r="AE177">
        <v>28541.67</v>
      </c>
      <c r="AF177">
        <v>0</v>
      </c>
      <c r="AG177">
        <v>0</v>
      </c>
      <c r="AH177">
        <v>0</v>
      </c>
      <c r="AI177">
        <v>1</v>
      </c>
      <c r="AJ177">
        <v>1</v>
      </c>
      <c r="AK177">
        <v>1</v>
      </c>
      <c r="AL177">
        <v>1</v>
      </c>
      <c r="AN177">
        <v>0</v>
      </c>
      <c r="AO177">
        <v>0</v>
      </c>
      <c r="AP177">
        <v>0</v>
      </c>
      <c r="AQ177">
        <v>0</v>
      </c>
      <c r="AR177">
        <v>0</v>
      </c>
      <c r="AS177" t="s">
        <v>3</v>
      </c>
      <c r="AT177">
        <v>0.38461499999999998</v>
      </c>
      <c r="AU177" t="s">
        <v>3</v>
      </c>
      <c r="AV177">
        <v>0</v>
      </c>
      <c r="AW177">
        <v>1</v>
      </c>
      <c r="AX177">
        <v>-1</v>
      </c>
      <c r="AY177">
        <v>0</v>
      </c>
      <c r="AZ177">
        <v>0</v>
      </c>
      <c r="BA177" t="s">
        <v>3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CX177">
        <f>Y177*Source!I208</f>
        <v>0.99999899999999997</v>
      </c>
      <c r="CY177">
        <f t="shared" si="18"/>
        <v>28541.67</v>
      </c>
      <c r="CZ177">
        <f t="shared" si="19"/>
        <v>28541.67</v>
      </c>
      <c r="DA177">
        <f t="shared" si="20"/>
        <v>1</v>
      </c>
      <c r="DB177">
        <f t="shared" si="16"/>
        <v>10977.55</v>
      </c>
      <c r="DC177">
        <f t="shared" si="17"/>
        <v>0</v>
      </c>
    </row>
    <row r="178" spans="1:107" x14ac:dyDescent="0.2">
      <c r="A178">
        <f>ROW(Source!A208)</f>
        <v>208</v>
      </c>
      <c r="B178">
        <v>38799519</v>
      </c>
      <c r="C178">
        <v>38800786</v>
      </c>
      <c r="D178">
        <v>0</v>
      </c>
      <c r="E178">
        <v>0</v>
      </c>
      <c r="F178">
        <v>1</v>
      </c>
      <c r="G178">
        <v>27</v>
      </c>
      <c r="H178">
        <v>3</v>
      </c>
      <c r="I178" t="s">
        <v>196</v>
      </c>
      <c r="J178" t="s">
        <v>3</v>
      </c>
      <c r="K178" t="s">
        <v>247</v>
      </c>
      <c r="L178">
        <v>1354</v>
      </c>
      <c r="N178">
        <v>1010</v>
      </c>
      <c r="O178" t="s">
        <v>198</v>
      </c>
      <c r="P178" t="s">
        <v>198</v>
      </c>
      <c r="Q178">
        <v>1</v>
      </c>
      <c r="W178">
        <v>0</v>
      </c>
      <c r="X178">
        <v>1271355772</v>
      </c>
      <c r="Y178">
        <v>0.38461499999999998</v>
      </c>
      <c r="AA178">
        <v>10416.67</v>
      </c>
      <c r="AB178">
        <v>0</v>
      </c>
      <c r="AC178">
        <v>0</v>
      </c>
      <c r="AD178">
        <v>0</v>
      </c>
      <c r="AE178">
        <v>10416.67</v>
      </c>
      <c r="AF178">
        <v>0</v>
      </c>
      <c r="AG178">
        <v>0</v>
      </c>
      <c r="AH178">
        <v>0</v>
      </c>
      <c r="AI178">
        <v>1</v>
      </c>
      <c r="AJ178">
        <v>1</v>
      </c>
      <c r="AK178">
        <v>1</v>
      </c>
      <c r="AL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 t="s">
        <v>3</v>
      </c>
      <c r="AT178">
        <v>0.38461499999999998</v>
      </c>
      <c r="AU178" t="s">
        <v>3</v>
      </c>
      <c r="AV178">
        <v>0</v>
      </c>
      <c r="AW178">
        <v>1</v>
      </c>
      <c r="AX178">
        <v>-1</v>
      </c>
      <c r="AY178">
        <v>0</v>
      </c>
      <c r="AZ178">
        <v>0</v>
      </c>
      <c r="BA178" t="s">
        <v>3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CX178">
        <f>Y178*Source!I208</f>
        <v>0.99999899999999997</v>
      </c>
      <c r="CY178">
        <f t="shared" si="18"/>
        <v>10416.67</v>
      </c>
      <c r="CZ178">
        <f t="shared" si="19"/>
        <v>10416.67</v>
      </c>
      <c r="DA178">
        <f t="shared" si="20"/>
        <v>1</v>
      </c>
      <c r="DB178">
        <f t="shared" si="16"/>
        <v>4006.41</v>
      </c>
      <c r="DC178">
        <f t="shared" si="17"/>
        <v>0</v>
      </c>
    </row>
    <row r="179" spans="1:107" x14ac:dyDescent="0.2">
      <c r="A179">
        <f>ROW(Source!A208)</f>
        <v>208</v>
      </c>
      <c r="B179">
        <v>38799519</v>
      </c>
      <c r="C179">
        <v>38800786</v>
      </c>
      <c r="D179">
        <v>0</v>
      </c>
      <c r="E179">
        <v>0</v>
      </c>
      <c r="F179">
        <v>1</v>
      </c>
      <c r="G179">
        <v>27</v>
      </c>
      <c r="H179">
        <v>3</v>
      </c>
      <c r="I179" t="s">
        <v>196</v>
      </c>
      <c r="J179" t="s">
        <v>3</v>
      </c>
      <c r="K179" t="s">
        <v>250</v>
      </c>
      <c r="L179">
        <v>1354</v>
      </c>
      <c r="N179">
        <v>1010</v>
      </c>
      <c r="O179" t="s">
        <v>198</v>
      </c>
      <c r="P179" t="s">
        <v>198</v>
      </c>
      <c r="Q179">
        <v>1</v>
      </c>
      <c r="W179">
        <v>0</v>
      </c>
      <c r="X179">
        <v>82112519</v>
      </c>
      <c r="Y179">
        <v>0.38461499999999998</v>
      </c>
      <c r="AA179">
        <v>10416.67</v>
      </c>
      <c r="AB179">
        <v>0</v>
      </c>
      <c r="AC179">
        <v>0</v>
      </c>
      <c r="AD179">
        <v>0</v>
      </c>
      <c r="AE179">
        <v>10416.67</v>
      </c>
      <c r="AF179">
        <v>0</v>
      </c>
      <c r="AG179">
        <v>0</v>
      </c>
      <c r="AH179">
        <v>0</v>
      </c>
      <c r="AI179">
        <v>1</v>
      </c>
      <c r="AJ179">
        <v>1</v>
      </c>
      <c r="AK179">
        <v>1</v>
      </c>
      <c r="AL179">
        <v>1</v>
      </c>
      <c r="AN179">
        <v>0</v>
      </c>
      <c r="AO179">
        <v>0</v>
      </c>
      <c r="AP179">
        <v>0</v>
      </c>
      <c r="AQ179">
        <v>0</v>
      </c>
      <c r="AR179">
        <v>0</v>
      </c>
      <c r="AS179" t="s">
        <v>3</v>
      </c>
      <c r="AT179">
        <v>0.38461499999999998</v>
      </c>
      <c r="AU179" t="s">
        <v>3</v>
      </c>
      <c r="AV179">
        <v>0</v>
      </c>
      <c r="AW179">
        <v>1</v>
      </c>
      <c r="AX179">
        <v>-1</v>
      </c>
      <c r="AY179">
        <v>0</v>
      </c>
      <c r="AZ179">
        <v>0</v>
      </c>
      <c r="BA179" t="s">
        <v>3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CX179">
        <f>Y179*Source!I208</f>
        <v>0.99999899999999997</v>
      </c>
      <c r="CY179">
        <f t="shared" si="18"/>
        <v>10416.67</v>
      </c>
      <c r="CZ179">
        <f t="shared" si="19"/>
        <v>10416.67</v>
      </c>
      <c r="DA179">
        <f t="shared" si="20"/>
        <v>1</v>
      </c>
      <c r="DB179">
        <f t="shared" si="16"/>
        <v>4006.41</v>
      </c>
      <c r="DC179">
        <f t="shared" si="17"/>
        <v>0</v>
      </c>
    </row>
    <row r="180" spans="1:107" x14ac:dyDescent="0.2">
      <c r="A180">
        <f>ROW(Source!A208)</f>
        <v>208</v>
      </c>
      <c r="B180">
        <v>38799519</v>
      </c>
      <c r="C180">
        <v>38800786</v>
      </c>
      <c r="D180">
        <v>0</v>
      </c>
      <c r="E180">
        <v>0</v>
      </c>
      <c r="F180">
        <v>1</v>
      </c>
      <c r="G180">
        <v>27</v>
      </c>
      <c r="H180">
        <v>3</v>
      </c>
      <c r="I180" t="s">
        <v>196</v>
      </c>
      <c r="J180" t="s">
        <v>3</v>
      </c>
      <c r="K180" t="s">
        <v>252</v>
      </c>
      <c r="L180">
        <v>1354</v>
      </c>
      <c r="N180">
        <v>1010</v>
      </c>
      <c r="O180" t="s">
        <v>198</v>
      </c>
      <c r="P180" t="s">
        <v>198</v>
      </c>
      <c r="Q180">
        <v>1</v>
      </c>
      <c r="W180">
        <v>0</v>
      </c>
      <c r="X180">
        <v>2137368623</v>
      </c>
      <c r="Y180">
        <v>0.769231</v>
      </c>
      <c r="AA180">
        <v>11458.33</v>
      </c>
      <c r="AB180">
        <v>0</v>
      </c>
      <c r="AC180">
        <v>0</v>
      </c>
      <c r="AD180">
        <v>0</v>
      </c>
      <c r="AE180">
        <v>11458.33</v>
      </c>
      <c r="AF180">
        <v>0</v>
      </c>
      <c r="AG180">
        <v>0</v>
      </c>
      <c r="AH180">
        <v>0</v>
      </c>
      <c r="AI180">
        <v>1</v>
      </c>
      <c r="AJ180">
        <v>1</v>
      </c>
      <c r="AK180">
        <v>1</v>
      </c>
      <c r="AL180">
        <v>1</v>
      </c>
      <c r="AN180">
        <v>0</v>
      </c>
      <c r="AO180">
        <v>0</v>
      </c>
      <c r="AP180">
        <v>0</v>
      </c>
      <c r="AQ180">
        <v>0</v>
      </c>
      <c r="AR180">
        <v>0</v>
      </c>
      <c r="AS180" t="s">
        <v>3</v>
      </c>
      <c r="AT180">
        <v>0.769231</v>
      </c>
      <c r="AU180" t="s">
        <v>3</v>
      </c>
      <c r="AV180">
        <v>0</v>
      </c>
      <c r="AW180">
        <v>1</v>
      </c>
      <c r="AX180">
        <v>-1</v>
      </c>
      <c r="AY180">
        <v>0</v>
      </c>
      <c r="AZ180">
        <v>0</v>
      </c>
      <c r="BA180" t="s">
        <v>3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CX180">
        <f>Y180*Source!I208</f>
        <v>2.0000005999999999</v>
      </c>
      <c r="CY180">
        <f t="shared" si="18"/>
        <v>11458.33</v>
      </c>
      <c r="CZ180">
        <f t="shared" si="19"/>
        <v>11458.33</v>
      </c>
      <c r="DA180">
        <f t="shared" si="20"/>
        <v>1</v>
      </c>
      <c r="DB180">
        <f t="shared" si="16"/>
        <v>8814.1</v>
      </c>
      <c r="DC180">
        <f t="shared" si="17"/>
        <v>0</v>
      </c>
    </row>
    <row r="181" spans="1:107" x14ac:dyDescent="0.2">
      <c r="A181">
        <f>ROW(Source!A298)</f>
        <v>298</v>
      </c>
      <c r="B181">
        <v>38799519</v>
      </c>
      <c r="C181">
        <v>38800645</v>
      </c>
      <c r="D181">
        <v>38451941</v>
      </c>
      <c r="E181">
        <v>27</v>
      </c>
      <c r="F181">
        <v>1</v>
      </c>
      <c r="G181">
        <v>27</v>
      </c>
      <c r="H181">
        <v>1</v>
      </c>
      <c r="I181" t="s">
        <v>387</v>
      </c>
      <c r="J181" t="s">
        <v>3</v>
      </c>
      <c r="K181" t="s">
        <v>388</v>
      </c>
      <c r="L181">
        <v>1191</v>
      </c>
      <c r="N181">
        <v>1013</v>
      </c>
      <c r="O181" t="s">
        <v>389</v>
      </c>
      <c r="P181" t="s">
        <v>389</v>
      </c>
      <c r="Q181">
        <v>1</v>
      </c>
      <c r="W181">
        <v>0</v>
      </c>
      <c r="X181">
        <v>476480486</v>
      </c>
      <c r="Y181">
        <v>7.2920000000000007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1</v>
      </c>
      <c r="AJ181">
        <v>1</v>
      </c>
      <c r="AK181">
        <v>1</v>
      </c>
      <c r="AL181">
        <v>1</v>
      </c>
      <c r="AN181">
        <v>0</v>
      </c>
      <c r="AO181">
        <v>1</v>
      </c>
      <c r="AP181">
        <v>1</v>
      </c>
      <c r="AQ181">
        <v>0</v>
      </c>
      <c r="AR181">
        <v>0</v>
      </c>
      <c r="AS181" t="s">
        <v>3</v>
      </c>
      <c r="AT181">
        <v>36.46</v>
      </c>
      <c r="AU181" t="s">
        <v>22</v>
      </c>
      <c r="AV181">
        <v>1</v>
      </c>
      <c r="AW181">
        <v>2</v>
      </c>
      <c r="AX181">
        <v>38800654</v>
      </c>
      <c r="AY181">
        <v>1</v>
      </c>
      <c r="AZ181">
        <v>0</v>
      </c>
      <c r="BA181">
        <v>157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CX181">
        <f>Y181*Source!I298</f>
        <v>0.54690000000000005</v>
      </c>
      <c r="CY181">
        <f>AD181</f>
        <v>0</v>
      </c>
      <c r="CZ181">
        <f>AH181</f>
        <v>0</v>
      </c>
      <c r="DA181">
        <f>AL181</f>
        <v>1</v>
      </c>
      <c r="DB181">
        <f>ROUND((ROUND(AT181*CZ181,2)*0.2),6)</f>
        <v>0</v>
      </c>
      <c r="DC181">
        <f>ROUND((ROUND(AT181*AG181,2)*0.2),6)</f>
        <v>0</v>
      </c>
    </row>
    <row r="182" spans="1:107" x14ac:dyDescent="0.2">
      <c r="A182">
        <f>ROW(Source!A298)</f>
        <v>298</v>
      </c>
      <c r="B182">
        <v>38799519</v>
      </c>
      <c r="C182">
        <v>38800645</v>
      </c>
      <c r="D182">
        <v>38464670</v>
      </c>
      <c r="E182">
        <v>1</v>
      </c>
      <c r="F182">
        <v>1</v>
      </c>
      <c r="G182">
        <v>27</v>
      </c>
      <c r="H182">
        <v>2</v>
      </c>
      <c r="I182" t="s">
        <v>390</v>
      </c>
      <c r="J182" t="s">
        <v>391</v>
      </c>
      <c r="K182" t="s">
        <v>392</v>
      </c>
      <c r="L182">
        <v>1368</v>
      </c>
      <c r="N182">
        <v>1011</v>
      </c>
      <c r="O182" t="s">
        <v>393</v>
      </c>
      <c r="P182" t="s">
        <v>393</v>
      </c>
      <c r="Q182">
        <v>1</v>
      </c>
      <c r="W182">
        <v>0</v>
      </c>
      <c r="X182">
        <v>844705367</v>
      </c>
      <c r="Y182">
        <v>4.0000000000000001E-3</v>
      </c>
      <c r="AA182">
        <v>0</v>
      </c>
      <c r="AB182">
        <v>41.19</v>
      </c>
      <c r="AC182">
        <v>0.34</v>
      </c>
      <c r="AD182">
        <v>0</v>
      </c>
      <c r="AE182">
        <v>0</v>
      </c>
      <c r="AF182">
        <v>41.19</v>
      </c>
      <c r="AG182">
        <v>0.34</v>
      </c>
      <c r="AH182">
        <v>0</v>
      </c>
      <c r="AI182">
        <v>1</v>
      </c>
      <c r="AJ182">
        <v>1</v>
      </c>
      <c r="AK182">
        <v>1</v>
      </c>
      <c r="AL182">
        <v>1</v>
      </c>
      <c r="AN182">
        <v>0</v>
      </c>
      <c r="AO182">
        <v>1</v>
      </c>
      <c r="AP182">
        <v>1</v>
      </c>
      <c r="AQ182">
        <v>0</v>
      </c>
      <c r="AR182">
        <v>0</v>
      </c>
      <c r="AS182" t="s">
        <v>3</v>
      </c>
      <c r="AT182">
        <v>0.02</v>
      </c>
      <c r="AU182" t="s">
        <v>22</v>
      </c>
      <c r="AV182">
        <v>0</v>
      </c>
      <c r="AW182">
        <v>2</v>
      </c>
      <c r="AX182">
        <v>38800655</v>
      </c>
      <c r="AY182">
        <v>1</v>
      </c>
      <c r="AZ182">
        <v>0</v>
      </c>
      <c r="BA182">
        <v>158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CX182">
        <f>Y182*Source!I298</f>
        <v>2.9999999999999997E-4</v>
      </c>
      <c r="CY182">
        <f>AB182</f>
        <v>41.19</v>
      </c>
      <c r="CZ182">
        <f>AF182</f>
        <v>41.19</v>
      </c>
      <c r="DA182">
        <f>AJ182</f>
        <v>1</v>
      </c>
      <c r="DB182">
        <f>ROUND((ROUND(AT182*CZ182,2)*0.2),6)</f>
        <v>0.16400000000000001</v>
      </c>
      <c r="DC182">
        <f>ROUND((ROUND(AT182*AG182,2)*0.2),6)</f>
        <v>2E-3</v>
      </c>
    </row>
    <row r="183" spans="1:107" x14ac:dyDescent="0.2">
      <c r="A183">
        <f>ROW(Source!A298)</f>
        <v>298</v>
      </c>
      <c r="B183">
        <v>38799519</v>
      </c>
      <c r="C183">
        <v>38800645</v>
      </c>
      <c r="D183">
        <v>38465076</v>
      </c>
      <c r="E183">
        <v>1</v>
      </c>
      <c r="F183">
        <v>1</v>
      </c>
      <c r="G183">
        <v>27</v>
      </c>
      <c r="H183">
        <v>2</v>
      </c>
      <c r="I183" t="s">
        <v>394</v>
      </c>
      <c r="J183" t="s">
        <v>395</v>
      </c>
      <c r="K183" t="s">
        <v>396</v>
      </c>
      <c r="L183">
        <v>1368</v>
      </c>
      <c r="N183">
        <v>1011</v>
      </c>
      <c r="O183" t="s">
        <v>393</v>
      </c>
      <c r="P183" t="s">
        <v>393</v>
      </c>
      <c r="Q183">
        <v>1</v>
      </c>
      <c r="W183">
        <v>0</v>
      </c>
      <c r="X183">
        <v>118009128</v>
      </c>
      <c r="Y183">
        <v>4.0000000000000008E-2</v>
      </c>
      <c r="AA183">
        <v>0</v>
      </c>
      <c r="AB183">
        <v>27.02</v>
      </c>
      <c r="AC183">
        <v>0.03</v>
      </c>
      <c r="AD183">
        <v>0</v>
      </c>
      <c r="AE183">
        <v>0</v>
      </c>
      <c r="AF183">
        <v>27.02</v>
      </c>
      <c r="AG183">
        <v>0.03</v>
      </c>
      <c r="AH183">
        <v>0</v>
      </c>
      <c r="AI183">
        <v>1</v>
      </c>
      <c r="AJ183">
        <v>1</v>
      </c>
      <c r="AK183">
        <v>1</v>
      </c>
      <c r="AL183">
        <v>1</v>
      </c>
      <c r="AN183">
        <v>0</v>
      </c>
      <c r="AO183">
        <v>1</v>
      </c>
      <c r="AP183">
        <v>1</v>
      </c>
      <c r="AQ183">
        <v>0</v>
      </c>
      <c r="AR183">
        <v>0</v>
      </c>
      <c r="AS183" t="s">
        <v>3</v>
      </c>
      <c r="AT183">
        <v>0.2</v>
      </c>
      <c r="AU183" t="s">
        <v>22</v>
      </c>
      <c r="AV183">
        <v>0</v>
      </c>
      <c r="AW183">
        <v>2</v>
      </c>
      <c r="AX183">
        <v>38800656</v>
      </c>
      <c r="AY183">
        <v>1</v>
      </c>
      <c r="AZ183">
        <v>0</v>
      </c>
      <c r="BA183">
        <v>159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CX183">
        <f>Y183*Source!I298</f>
        <v>3.0000000000000005E-3</v>
      </c>
      <c r="CY183">
        <f>AB183</f>
        <v>27.02</v>
      </c>
      <c r="CZ183">
        <f>AF183</f>
        <v>27.02</v>
      </c>
      <c r="DA183">
        <f>AJ183</f>
        <v>1</v>
      </c>
      <c r="DB183">
        <f>ROUND((ROUND(AT183*CZ183,2)*0.2),6)</f>
        <v>1.08</v>
      </c>
      <c r="DC183">
        <f>ROUND((ROUND(AT183*AG183,2)*0.2),6)</f>
        <v>2E-3</v>
      </c>
    </row>
    <row r="184" spans="1:107" x14ac:dyDescent="0.2">
      <c r="A184">
        <f>ROW(Source!A298)</f>
        <v>298</v>
      </c>
      <c r="B184">
        <v>38799519</v>
      </c>
      <c r="C184">
        <v>38800645</v>
      </c>
      <c r="D184">
        <v>38465038</v>
      </c>
      <c r="E184">
        <v>1</v>
      </c>
      <c r="F184">
        <v>1</v>
      </c>
      <c r="G184">
        <v>27</v>
      </c>
      <c r="H184">
        <v>2</v>
      </c>
      <c r="I184" t="s">
        <v>397</v>
      </c>
      <c r="J184" t="s">
        <v>398</v>
      </c>
      <c r="K184" t="s">
        <v>399</v>
      </c>
      <c r="L184">
        <v>1368</v>
      </c>
      <c r="N184">
        <v>1011</v>
      </c>
      <c r="O184" t="s">
        <v>393</v>
      </c>
      <c r="P184" t="s">
        <v>393</v>
      </c>
      <c r="Q184">
        <v>1</v>
      </c>
      <c r="W184">
        <v>0</v>
      </c>
      <c r="X184">
        <v>-2096205149</v>
      </c>
      <c r="Y184">
        <v>0.60199999999999998</v>
      </c>
      <c r="AA184">
        <v>0</v>
      </c>
      <c r="AB184">
        <v>4.71</v>
      </c>
      <c r="AC184">
        <v>1.1200000000000001</v>
      </c>
      <c r="AD184">
        <v>0</v>
      </c>
      <c r="AE184">
        <v>0</v>
      </c>
      <c r="AF184">
        <v>4.71</v>
      </c>
      <c r="AG184">
        <v>1.1200000000000001</v>
      </c>
      <c r="AH184">
        <v>0</v>
      </c>
      <c r="AI184">
        <v>1</v>
      </c>
      <c r="AJ184">
        <v>1</v>
      </c>
      <c r="AK184">
        <v>1</v>
      </c>
      <c r="AL184">
        <v>1</v>
      </c>
      <c r="AN184">
        <v>0</v>
      </c>
      <c r="AO184">
        <v>1</v>
      </c>
      <c r="AP184">
        <v>1</v>
      </c>
      <c r="AQ184">
        <v>0</v>
      </c>
      <c r="AR184">
        <v>0</v>
      </c>
      <c r="AS184" t="s">
        <v>3</v>
      </c>
      <c r="AT184">
        <v>3.01</v>
      </c>
      <c r="AU184" t="s">
        <v>22</v>
      </c>
      <c r="AV184">
        <v>0</v>
      </c>
      <c r="AW184">
        <v>2</v>
      </c>
      <c r="AX184">
        <v>38800657</v>
      </c>
      <c r="AY184">
        <v>1</v>
      </c>
      <c r="AZ184">
        <v>0</v>
      </c>
      <c r="BA184">
        <v>160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CX184">
        <f>Y184*Source!I298</f>
        <v>4.5149999999999996E-2</v>
      </c>
      <c r="CY184">
        <f>AB184</f>
        <v>4.71</v>
      </c>
      <c r="CZ184">
        <f>AF184</f>
        <v>4.71</v>
      </c>
      <c r="DA184">
        <f>AJ184</f>
        <v>1</v>
      </c>
      <c r="DB184">
        <f>ROUND((ROUND(AT184*CZ184,2)*0.2),6)</f>
        <v>2.8359999999999999</v>
      </c>
      <c r="DC184">
        <f>ROUND((ROUND(AT184*AG184,2)*0.2),6)</f>
        <v>0.67400000000000004</v>
      </c>
    </row>
    <row r="185" spans="1:107" x14ac:dyDescent="0.2">
      <c r="A185">
        <f>ROW(Source!A298)</f>
        <v>298</v>
      </c>
      <c r="B185">
        <v>38799519</v>
      </c>
      <c r="C185">
        <v>38800645</v>
      </c>
      <c r="D185">
        <v>38464353</v>
      </c>
      <c r="E185">
        <v>1</v>
      </c>
      <c r="F185">
        <v>1</v>
      </c>
      <c r="G185">
        <v>27</v>
      </c>
      <c r="H185">
        <v>2</v>
      </c>
      <c r="I185" t="s">
        <v>400</v>
      </c>
      <c r="J185" t="s">
        <v>401</v>
      </c>
      <c r="K185" t="s">
        <v>402</v>
      </c>
      <c r="L185">
        <v>1368</v>
      </c>
      <c r="N185">
        <v>1011</v>
      </c>
      <c r="O185" t="s">
        <v>393</v>
      </c>
      <c r="P185" t="s">
        <v>393</v>
      </c>
      <c r="Q185">
        <v>1</v>
      </c>
      <c r="W185">
        <v>0</v>
      </c>
      <c r="X185">
        <v>-699398312</v>
      </c>
      <c r="Y185">
        <v>0.22000000000000003</v>
      </c>
      <c r="AA185">
        <v>0</v>
      </c>
      <c r="AB185">
        <v>10.39</v>
      </c>
      <c r="AC185">
        <v>0.03</v>
      </c>
      <c r="AD185">
        <v>0</v>
      </c>
      <c r="AE185">
        <v>0</v>
      </c>
      <c r="AF185">
        <v>10.39</v>
      </c>
      <c r="AG185">
        <v>0.03</v>
      </c>
      <c r="AH185">
        <v>0</v>
      </c>
      <c r="AI185">
        <v>1</v>
      </c>
      <c r="AJ185">
        <v>1</v>
      </c>
      <c r="AK185">
        <v>1</v>
      </c>
      <c r="AL185">
        <v>1</v>
      </c>
      <c r="AN185">
        <v>0</v>
      </c>
      <c r="AO185">
        <v>1</v>
      </c>
      <c r="AP185">
        <v>1</v>
      </c>
      <c r="AQ185">
        <v>0</v>
      </c>
      <c r="AR185">
        <v>0</v>
      </c>
      <c r="AS185" t="s">
        <v>3</v>
      </c>
      <c r="AT185">
        <v>1.1000000000000001</v>
      </c>
      <c r="AU185" t="s">
        <v>22</v>
      </c>
      <c r="AV185">
        <v>0</v>
      </c>
      <c r="AW185">
        <v>2</v>
      </c>
      <c r="AX185">
        <v>38800658</v>
      </c>
      <c r="AY185">
        <v>1</v>
      </c>
      <c r="AZ185">
        <v>0</v>
      </c>
      <c r="BA185">
        <v>161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CX185">
        <f>Y185*Source!I298</f>
        <v>1.6500000000000001E-2</v>
      </c>
      <c r="CY185">
        <f>AB185</f>
        <v>10.39</v>
      </c>
      <c r="CZ185">
        <f>AF185</f>
        <v>10.39</v>
      </c>
      <c r="DA185">
        <f>AJ185</f>
        <v>1</v>
      </c>
      <c r="DB185">
        <f>ROUND((ROUND(AT185*CZ185,2)*0.2),6)</f>
        <v>2.286</v>
      </c>
      <c r="DC185">
        <f>ROUND((ROUND(AT185*AG185,2)*0.2),6)</f>
        <v>6.0000000000000001E-3</v>
      </c>
    </row>
    <row r="186" spans="1:107" x14ac:dyDescent="0.2">
      <c r="A186">
        <f>ROW(Source!A298)</f>
        <v>298</v>
      </c>
      <c r="B186">
        <v>38799519</v>
      </c>
      <c r="C186">
        <v>38800645</v>
      </c>
      <c r="D186">
        <v>38466121</v>
      </c>
      <c r="E186">
        <v>1</v>
      </c>
      <c r="F186">
        <v>1</v>
      </c>
      <c r="G186">
        <v>27</v>
      </c>
      <c r="H186">
        <v>3</v>
      </c>
      <c r="I186" t="s">
        <v>403</v>
      </c>
      <c r="J186" t="s">
        <v>404</v>
      </c>
      <c r="K186" t="s">
        <v>405</v>
      </c>
      <c r="L186">
        <v>1327</v>
      </c>
      <c r="N186">
        <v>1005</v>
      </c>
      <c r="O186" t="s">
        <v>289</v>
      </c>
      <c r="P186" t="s">
        <v>289</v>
      </c>
      <c r="Q186">
        <v>1</v>
      </c>
      <c r="W186">
        <v>0</v>
      </c>
      <c r="X186">
        <v>-1924715319</v>
      </c>
      <c r="Y186">
        <v>0</v>
      </c>
      <c r="AA186">
        <v>397.91</v>
      </c>
      <c r="AB186">
        <v>0</v>
      </c>
      <c r="AC186">
        <v>0</v>
      </c>
      <c r="AD186">
        <v>0</v>
      </c>
      <c r="AE186">
        <v>397.91</v>
      </c>
      <c r="AF186">
        <v>0</v>
      </c>
      <c r="AG186">
        <v>0</v>
      </c>
      <c r="AH186">
        <v>0</v>
      </c>
      <c r="AI186">
        <v>1</v>
      </c>
      <c r="AJ186">
        <v>1</v>
      </c>
      <c r="AK186">
        <v>1</v>
      </c>
      <c r="AL186">
        <v>1</v>
      </c>
      <c r="AN186">
        <v>0</v>
      </c>
      <c r="AO186">
        <v>1</v>
      </c>
      <c r="AP186">
        <v>1</v>
      </c>
      <c r="AQ186">
        <v>0</v>
      </c>
      <c r="AR186">
        <v>0</v>
      </c>
      <c r="AS186" t="s">
        <v>3</v>
      </c>
      <c r="AT186">
        <v>100</v>
      </c>
      <c r="AU186" t="s">
        <v>21</v>
      </c>
      <c r="AV186">
        <v>0</v>
      </c>
      <c r="AW186">
        <v>2</v>
      </c>
      <c r="AX186">
        <v>38800659</v>
      </c>
      <c r="AY186">
        <v>1</v>
      </c>
      <c r="AZ186">
        <v>0</v>
      </c>
      <c r="BA186">
        <v>162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CX186">
        <f>Y186*Source!I298</f>
        <v>0</v>
      </c>
      <c r="CY186">
        <f>AA186</f>
        <v>397.91</v>
      </c>
      <c r="CZ186">
        <f>AE186</f>
        <v>397.91</v>
      </c>
      <c r="DA186">
        <f>AI186</f>
        <v>1</v>
      </c>
      <c r="DB186">
        <f>ROUND((ROUND(AT186*CZ186,2)*0),6)</f>
        <v>0</v>
      </c>
      <c r="DC186">
        <f>ROUND((ROUND(AT186*AG186,2)*0),6)</f>
        <v>0</v>
      </c>
    </row>
    <row r="187" spans="1:107" x14ac:dyDescent="0.2">
      <c r="A187">
        <f>ROW(Source!A298)</f>
        <v>298</v>
      </c>
      <c r="B187">
        <v>38799519</v>
      </c>
      <c r="C187">
        <v>38800645</v>
      </c>
      <c r="D187">
        <v>38466153</v>
      </c>
      <c r="E187">
        <v>1</v>
      </c>
      <c r="F187">
        <v>1</v>
      </c>
      <c r="G187">
        <v>27</v>
      </c>
      <c r="H187">
        <v>3</v>
      </c>
      <c r="I187" t="s">
        <v>406</v>
      </c>
      <c r="J187" t="s">
        <v>407</v>
      </c>
      <c r="K187" t="s">
        <v>408</v>
      </c>
      <c r="L187">
        <v>1348</v>
      </c>
      <c r="N187">
        <v>1009</v>
      </c>
      <c r="O187" t="s">
        <v>155</v>
      </c>
      <c r="P187" t="s">
        <v>155</v>
      </c>
      <c r="Q187">
        <v>1000</v>
      </c>
      <c r="W187">
        <v>0</v>
      </c>
      <c r="X187">
        <v>-1675384158</v>
      </c>
      <c r="Y187">
        <v>0</v>
      </c>
      <c r="AA187">
        <v>153777.19</v>
      </c>
      <c r="AB187">
        <v>0</v>
      </c>
      <c r="AC187">
        <v>0</v>
      </c>
      <c r="AD187">
        <v>0</v>
      </c>
      <c r="AE187">
        <v>153777.19</v>
      </c>
      <c r="AF187">
        <v>0</v>
      </c>
      <c r="AG187">
        <v>0</v>
      </c>
      <c r="AH187">
        <v>0</v>
      </c>
      <c r="AI187">
        <v>1</v>
      </c>
      <c r="AJ187">
        <v>1</v>
      </c>
      <c r="AK187">
        <v>1</v>
      </c>
      <c r="AL187">
        <v>1</v>
      </c>
      <c r="AN187">
        <v>0</v>
      </c>
      <c r="AO187">
        <v>1</v>
      </c>
      <c r="AP187">
        <v>1</v>
      </c>
      <c r="AQ187">
        <v>0</v>
      </c>
      <c r="AR187">
        <v>0</v>
      </c>
      <c r="AS187" t="s">
        <v>3</v>
      </c>
      <c r="AT187">
        <v>2E-3</v>
      </c>
      <c r="AU187" t="s">
        <v>21</v>
      </c>
      <c r="AV187">
        <v>0</v>
      </c>
      <c r="AW187">
        <v>2</v>
      </c>
      <c r="AX187">
        <v>38800660</v>
      </c>
      <c r="AY187">
        <v>1</v>
      </c>
      <c r="AZ187">
        <v>0</v>
      </c>
      <c r="BA187">
        <v>163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CX187">
        <f>Y187*Source!I298</f>
        <v>0</v>
      </c>
      <c r="CY187">
        <f>AA187</f>
        <v>153777.19</v>
      </c>
      <c r="CZ187">
        <f>AE187</f>
        <v>153777.19</v>
      </c>
      <c r="DA187">
        <f>AI187</f>
        <v>1</v>
      </c>
      <c r="DB187">
        <f>ROUND((ROUND(AT187*CZ187,2)*0),6)</f>
        <v>0</v>
      </c>
      <c r="DC187">
        <f>ROUND((ROUND(AT187*AG187,2)*0),6)</f>
        <v>0</v>
      </c>
    </row>
    <row r="188" spans="1:107" x14ac:dyDescent="0.2">
      <c r="A188">
        <f>ROW(Source!A298)</f>
        <v>298</v>
      </c>
      <c r="B188">
        <v>38799519</v>
      </c>
      <c r="C188">
        <v>38800645</v>
      </c>
      <c r="D188">
        <v>38469131</v>
      </c>
      <c r="E188">
        <v>1</v>
      </c>
      <c r="F188">
        <v>1</v>
      </c>
      <c r="G188">
        <v>27</v>
      </c>
      <c r="H188">
        <v>3</v>
      </c>
      <c r="I188" t="s">
        <v>409</v>
      </c>
      <c r="J188" t="s">
        <v>410</v>
      </c>
      <c r="K188" t="s">
        <v>411</v>
      </c>
      <c r="L188">
        <v>1348</v>
      </c>
      <c r="N188">
        <v>1009</v>
      </c>
      <c r="O188" t="s">
        <v>155</v>
      </c>
      <c r="P188" t="s">
        <v>155</v>
      </c>
      <c r="Q188">
        <v>1000</v>
      </c>
      <c r="W188">
        <v>0</v>
      </c>
      <c r="X188">
        <v>-368355619</v>
      </c>
      <c r="Y188">
        <v>0</v>
      </c>
      <c r="AA188">
        <v>75026.559999999998</v>
      </c>
      <c r="AB188">
        <v>0</v>
      </c>
      <c r="AC188">
        <v>0</v>
      </c>
      <c r="AD188">
        <v>0</v>
      </c>
      <c r="AE188">
        <v>75026.559999999998</v>
      </c>
      <c r="AF188">
        <v>0</v>
      </c>
      <c r="AG188">
        <v>0</v>
      </c>
      <c r="AH188">
        <v>0</v>
      </c>
      <c r="AI188">
        <v>1</v>
      </c>
      <c r="AJ188">
        <v>1</v>
      </c>
      <c r="AK188">
        <v>1</v>
      </c>
      <c r="AL188">
        <v>1</v>
      </c>
      <c r="AN188">
        <v>0</v>
      </c>
      <c r="AO188">
        <v>1</v>
      </c>
      <c r="AP188">
        <v>1</v>
      </c>
      <c r="AQ188">
        <v>0</v>
      </c>
      <c r="AR188">
        <v>0</v>
      </c>
      <c r="AS188" t="s">
        <v>3</v>
      </c>
      <c r="AT188">
        <v>1.0999999999999999E-2</v>
      </c>
      <c r="AU188" t="s">
        <v>21</v>
      </c>
      <c r="AV188">
        <v>0</v>
      </c>
      <c r="AW188">
        <v>2</v>
      </c>
      <c r="AX188">
        <v>38800661</v>
      </c>
      <c r="AY188">
        <v>1</v>
      </c>
      <c r="AZ188">
        <v>0</v>
      </c>
      <c r="BA188">
        <v>164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CX188">
        <f>Y188*Source!I298</f>
        <v>0</v>
      </c>
      <c r="CY188">
        <f>AA188</f>
        <v>75026.559999999998</v>
      </c>
      <c r="CZ188">
        <f>AE188</f>
        <v>75026.559999999998</v>
      </c>
      <c r="DA188">
        <f>AI188</f>
        <v>1</v>
      </c>
      <c r="DB188">
        <f>ROUND((ROUND(AT188*CZ188,2)*0),6)</f>
        <v>0</v>
      </c>
      <c r="DC188">
        <f>ROUND((ROUND(AT188*AG188,2)*0),6)</f>
        <v>0</v>
      </c>
    </row>
    <row r="189" spans="1:107" x14ac:dyDescent="0.2">
      <c r="A189">
        <f>ROW(Source!A299)</f>
        <v>299</v>
      </c>
      <c r="B189">
        <v>38799519</v>
      </c>
      <c r="C189">
        <v>38800662</v>
      </c>
      <c r="D189">
        <v>38451941</v>
      </c>
      <c r="E189">
        <v>27</v>
      </c>
      <c r="F189">
        <v>1</v>
      </c>
      <c r="G189">
        <v>27</v>
      </c>
      <c r="H189">
        <v>1</v>
      </c>
      <c r="I189" t="s">
        <v>387</v>
      </c>
      <c r="J189" t="s">
        <v>3</v>
      </c>
      <c r="K189" t="s">
        <v>388</v>
      </c>
      <c r="L189">
        <v>1191</v>
      </c>
      <c r="N189">
        <v>1013</v>
      </c>
      <c r="O189" t="s">
        <v>389</v>
      </c>
      <c r="P189" t="s">
        <v>389</v>
      </c>
      <c r="Q189">
        <v>1</v>
      </c>
      <c r="W189">
        <v>0</v>
      </c>
      <c r="X189">
        <v>476480486</v>
      </c>
      <c r="Y189">
        <v>22.080000000000002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1</v>
      </c>
      <c r="AK189">
        <v>1</v>
      </c>
      <c r="AL189">
        <v>1</v>
      </c>
      <c r="AN189">
        <v>0</v>
      </c>
      <c r="AO189">
        <v>1</v>
      </c>
      <c r="AP189">
        <v>1</v>
      </c>
      <c r="AQ189">
        <v>0</v>
      </c>
      <c r="AR189">
        <v>0</v>
      </c>
      <c r="AS189" t="s">
        <v>3</v>
      </c>
      <c r="AT189">
        <v>110.4</v>
      </c>
      <c r="AU189" t="s">
        <v>22</v>
      </c>
      <c r="AV189">
        <v>1</v>
      </c>
      <c r="AW189">
        <v>2</v>
      </c>
      <c r="AX189">
        <v>38800668</v>
      </c>
      <c r="AY189">
        <v>1</v>
      </c>
      <c r="AZ189">
        <v>0</v>
      </c>
      <c r="BA189">
        <v>165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CX189">
        <f>Y189*Source!I299</f>
        <v>1.1040000000000001</v>
      </c>
      <c r="CY189">
        <f>AD189</f>
        <v>0</v>
      </c>
      <c r="CZ189">
        <f>AH189</f>
        <v>0</v>
      </c>
      <c r="DA189">
        <f>AL189</f>
        <v>1</v>
      </c>
      <c r="DB189">
        <f>ROUND((ROUND(AT189*CZ189,2)*0.2),6)</f>
        <v>0</v>
      </c>
      <c r="DC189">
        <f>ROUND((ROUND(AT189*AG189,2)*0.2),6)</f>
        <v>0</v>
      </c>
    </row>
    <row r="190" spans="1:107" x14ac:dyDescent="0.2">
      <c r="A190">
        <f>ROW(Source!A299)</f>
        <v>299</v>
      </c>
      <c r="B190">
        <v>38799519</v>
      </c>
      <c r="C190">
        <v>38800662</v>
      </c>
      <c r="D190">
        <v>38464342</v>
      </c>
      <c r="E190">
        <v>1</v>
      </c>
      <c r="F190">
        <v>1</v>
      </c>
      <c r="G190">
        <v>27</v>
      </c>
      <c r="H190">
        <v>2</v>
      </c>
      <c r="I190" t="s">
        <v>520</v>
      </c>
      <c r="J190" t="s">
        <v>521</v>
      </c>
      <c r="K190" t="s">
        <v>522</v>
      </c>
      <c r="L190">
        <v>1368</v>
      </c>
      <c r="N190">
        <v>1011</v>
      </c>
      <c r="O190" t="s">
        <v>393</v>
      </c>
      <c r="P190" t="s">
        <v>393</v>
      </c>
      <c r="Q190">
        <v>1</v>
      </c>
      <c r="W190">
        <v>0</v>
      </c>
      <c r="X190">
        <v>-204835879</v>
      </c>
      <c r="Y190">
        <v>4.8000000000000007</v>
      </c>
      <c r="AA190">
        <v>0</v>
      </c>
      <c r="AB190">
        <v>31</v>
      </c>
      <c r="AC190">
        <v>1.35</v>
      </c>
      <c r="AD190">
        <v>0</v>
      </c>
      <c r="AE190">
        <v>0</v>
      </c>
      <c r="AF190">
        <v>31</v>
      </c>
      <c r="AG190">
        <v>1.35</v>
      </c>
      <c r="AH190">
        <v>0</v>
      </c>
      <c r="AI190">
        <v>1</v>
      </c>
      <c r="AJ190">
        <v>1</v>
      </c>
      <c r="AK190">
        <v>1</v>
      </c>
      <c r="AL190">
        <v>1</v>
      </c>
      <c r="AN190">
        <v>0</v>
      </c>
      <c r="AO190">
        <v>1</v>
      </c>
      <c r="AP190">
        <v>1</v>
      </c>
      <c r="AQ190">
        <v>0</v>
      </c>
      <c r="AR190">
        <v>0</v>
      </c>
      <c r="AS190" t="s">
        <v>3</v>
      </c>
      <c r="AT190">
        <v>24</v>
      </c>
      <c r="AU190" t="s">
        <v>22</v>
      </c>
      <c r="AV190">
        <v>0</v>
      </c>
      <c r="AW190">
        <v>2</v>
      </c>
      <c r="AX190">
        <v>38800669</v>
      </c>
      <c r="AY190">
        <v>1</v>
      </c>
      <c r="AZ190">
        <v>0</v>
      </c>
      <c r="BA190">
        <v>166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CX190">
        <f>Y190*Source!I299</f>
        <v>0.24000000000000005</v>
      </c>
      <c r="CY190">
        <f>AB190</f>
        <v>31</v>
      </c>
      <c r="CZ190">
        <f>AF190</f>
        <v>31</v>
      </c>
      <c r="DA190">
        <f>AJ190</f>
        <v>1</v>
      </c>
      <c r="DB190">
        <f>ROUND((ROUND(AT190*CZ190,2)*0.2),6)</f>
        <v>148.80000000000001</v>
      </c>
      <c r="DC190">
        <f>ROUND((ROUND(AT190*AG190,2)*0.2),6)</f>
        <v>6.48</v>
      </c>
    </row>
    <row r="191" spans="1:107" x14ac:dyDescent="0.2">
      <c r="A191">
        <f>ROW(Source!A299)</f>
        <v>299</v>
      </c>
      <c r="B191">
        <v>38799519</v>
      </c>
      <c r="C191">
        <v>38800662</v>
      </c>
      <c r="D191">
        <v>38466161</v>
      </c>
      <c r="E191">
        <v>1</v>
      </c>
      <c r="F191">
        <v>1</v>
      </c>
      <c r="G191">
        <v>27</v>
      </c>
      <c r="H191">
        <v>3</v>
      </c>
      <c r="I191" t="s">
        <v>523</v>
      </c>
      <c r="J191" t="s">
        <v>524</v>
      </c>
      <c r="K191" t="s">
        <v>525</v>
      </c>
      <c r="L191">
        <v>1348</v>
      </c>
      <c r="N191">
        <v>1009</v>
      </c>
      <c r="O191" t="s">
        <v>155</v>
      </c>
      <c r="P191" t="s">
        <v>155</v>
      </c>
      <c r="Q191">
        <v>1000</v>
      </c>
      <c r="W191">
        <v>0</v>
      </c>
      <c r="X191">
        <v>-1356276541</v>
      </c>
      <c r="Y191">
        <v>0</v>
      </c>
      <c r="AA191">
        <v>105084.63</v>
      </c>
      <c r="AB191">
        <v>0</v>
      </c>
      <c r="AC191">
        <v>0</v>
      </c>
      <c r="AD191">
        <v>0</v>
      </c>
      <c r="AE191">
        <v>105084.63</v>
      </c>
      <c r="AF191">
        <v>0</v>
      </c>
      <c r="AG191">
        <v>0</v>
      </c>
      <c r="AH191">
        <v>0</v>
      </c>
      <c r="AI191">
        <v>1</v>
      </c>
      <c r="AJ191">
        <v>1</v>
      </c>
      <c r="AK191">
        <v>1</v>
      </c>
      <c r="AL191">
        <v>1</v>
      </c>
      <c r="AN191">
        <v>0</v>
      </c>
      <c r="AO191">
        <v>1</v>
      </c>
      <c r="AP191">
        <v>1</v>
      </c>
      <c r="AQ191">
        <v>0</v>
      </c>
      <c r="AR191">
        <v>0</v>
      </c>
      <c r="AS191" t="s">
        <v>3</v>
      </c>
      <c r="AT191">
        <v>5.0000000000000001E-3</v>
      </c>
      <c r="AU191" t="s">
        <v>21</v>
      </c>
      <c r="AV191">
        <v>0</v>
      </c>
      <c r="AW191">
        <v>2</v>
      </c>
      <c r="AX191">
        <v>38800670</v>
      </c>
      <c r="AY191">
        <v>1</v>
      </c>
      <c r="AZ191">
        <v>0</v>
      </c>
      <c r="BA191">
        <v>167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CX191">
        <f>Y191*Source!I299</f>
        <v>0</v>
      </c>
      <c r="CY191">
        <f>AA191</f>
        <v>105084.63</v>
      </c>
      <c r="CZ191">
        <f>AE191</f>
        <v>105084.63</v>
      </c>
      <c r="DA191">
        <f>AI191</f>
        <v>1</v>
      </c>
      <c r="DB191">
        <f>ROUND((ROUND(AT191*CZ191,2)*0),6)</f>
        <v>0</v>
      </c>
      <c r="DC191">
        <f>ROUND((ROUND(AT191*AG191,2)*0),6)</f>
        <v>0</v>
      </c>
    </row>
    <row r="192" spans="1:107" x14ac:dyDescent="0.2">
      <c r="A192">
        <f>ROW(Source!A299)</f>
        <v>299</v>
      </c>
      <c r="B192">
        <v>38799519</v>
      </c>
      <c r="C192">
        <v>38800662</v>
      </c>
      <c r="D192">
        <v>38467018</v>
      </c>
      <c r="E192">
        <v>1</v>
      </c>
      <c r="F192">
        <v>1</v>
      </c>
      <c r="G192">
        <v>27</v>
      </c>
      <c r="H192">
        <v>3</v>
      </c>
      <c r="I192" t="s">
        <v>496</v>
      </c>
      <c r="J192" t="s">
        <v>497</v>
      </c>
      <c r="K192" t="s">
        <v>498</v>
      </c>
      <c r="L192">
        <v>1348</v>
      </c>
      <c r="N192">
        <v>1009</v>
      </c>
      <c r="O192" t="s">
        <v>155</v>
      </c>
      <c r="P192" t="s">
        <v>155</v>
      </c>
      <c r="Q192">
        <v>1000</v>
      </c>
      <c r="W192">
        <v>0</v>
      </c>
      <c r="X192">
        <v>-941081254</v>
      </c>
      <c r="Y192">
        <v>0</v>
      </c>
      <c r="AA192">
        <v>110781.14</v>
      </c>
      <c r="AB192">
        <v>0</v>
      </c>
      <c r="AC192">
        <v>0</v>
      </c>
      <c r="AD192">
        <v>0</v>
      </c>
      <c r="AE192">
        <v>110781.14</v>
      </c>
      <c r="AF192">
        <v>0</v>
      </c>
      <c r="AG192">
        <v>0</v>
      </c>
      <c r="AH192">
        <v>0</v>
      </c>
      <c r="AI192">
        <v>1</v>
      </c>
      <c r="AJ192">
        <v>1</v>
      </c>
      <c r="AK192">
        <v>1</v>
      </c>
      <c r="AL192">
        <v>1</v>
      </c>
      <c r="AN192">
        <v>0</v>
      </c>
      <c r="AO192">
        <v>1</v>
      </c>
      <c r="AP192">
        <v>1</v>
      </c>
      <c r="AQ192">
        <v>0</v>
      </c>
      <c r="AR192">
        <v>0</v>
      </c>
      <c r="AS192" t="s">
        <v>3</v>
      </c>
      <c r="AT192">
        <v>2E-3</v>
      </c>
      <c r="AU192" t="s">
        <v>21</v>
      </c>
      <c r="AV192">
        <v>0</v>
      </c>
      <c r="AW192">
        <v>2</v>
      </c>
      <c r="AX192">
        <v>38800671</v>
      </c>
      <c r="AY192">
        <v>1</v>
      </c>
      <c r="AZ192">
        <v>0</v>
      </c>
      <c r="BA192">
        <v>168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CX192">
        <f>Y192*Source!I299</f>
        <v>0</v>
      </c>
      <c r="CY192">
        <f>AA192</f>
        <v>110781.14</v>
      </c>
      <c r="CZ192">
        <f>AE192</f>
        <v>110781.14</v>
      </c>
      <c r="DA192">
        <f>AI192</f>
        <v>1</v>
      </c>
      <c r="DB192">
        <f>ROUND((ROUND(AT192*CZ192,2)*0),6)</f>
        <v>0</v>
      </c>
      <c r="DC192">
        <f>ROUND((ROUND(AT192*AG192,2)*0),6)</f>
        <v>0</v>
      </c>
    </row>
    <row r="193" spans="1:107" x14ac:dyDescent="0.2">
      <c r="A193">
        <f>ROW(Source!A299)</f>
        <v>299</v>
      </c>
      <c r="B193">
        <v>38799519</v>
      </c>
      <c r="C193">
        <v>38800662</v>
      </c>
      <c r="D193">
        <v>38469130</v>
      </c>
      <c r="E193">
        <v>1</v>
      </c>
      <c r="F193">
        <v>1</v>
      </c>
      <c r="G193">
        <v>27</v>
      </c>
      <c r="H193">
        <v>3</v>
      </c>
      <c r="I193" t="s">
        <v>572</v>
      </c>
      <c r="J193" t="s">
        <v>573</v>
      </c>
      <c r="K193" t="s">
        <v>574</v>
      </c>
      <c r="L193">
        <v>1348</v>
      </c>
      <c r="N193">
        <v>1009</v>
      </c>
      <c r="O193" t="s">
        <v>155</v>
      </c>
      <c r="P193" t="s">
        <v>155</v>
      </c>
      <c r="Q193">
        <v>1000</v>
      </c>
      <c r="W193">
        <v>0</v>
      </c>
      <c r="X193">
        <v>-135154983</v>
      </c>
      <c r="Y193">
        <v>0</v>
      </c>
      <c r="AA193">
        <v>79722.539999999994</v>
      </c>
      <c r="AB193">
        <v>0</v>
      </c>
      <c r="AC193">
        <v>0</v>
      </c>
      <c r="AD193">
        <v>0</v>
      </c>
      <c r="AE193">
        <v>79722.539999999994</v>
      </c>
      <c r="AF193">
        <v>0</v>
      </c>
      <c r="AG193">
        <v>0</v>
      </c>
      <c r="AH193">
        <v>0</v>
      </c>
      <c r="AI193">
        <v>1</v>
      </c>
      <c r="AJ193">
        <v>1</v>
      </c>
      <c r="AK193">
        <v>1</v>
      </c>
      <c r="AL193">
        <v>1</v>
      </c>
      <c r="AN193">
        <v>0</v>
      </c>
      <c r="AO193">
        <v>1</v>
      </c>
      <c r="AP193">
        <v>1</v>
      </c>
      <c r="AQ193">
        <v>0</v>
      </c>
      <c r="AR193">
        <v>0</v>
      </c>
      <c r="AS193" t="s">
        <v>3</v>
      </c>
      <c r="AT193">
        <v>1</v>
      </c>
      <c r="AU193" t="s">
        <v>21</v>
      </c>
      <c r="AV193">
        <v>0</v>
      </c>
      <c r="AW193">
        <v>2</v>
      </c>
      <c r="AX193">
        <v>38800672</v>
      </c>
      <c r="AY193">
        <v>1</v>
      </c>
      <c r="AZ193">
        <v>0</v>
      </c>
      <c r="BA193">
        <v>169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CX193">
        <f>Y193*Source!I299</f>
        <v>0</v>
      </c>
      <c r="CY193">
        <f>AA193</f>
        <v>79722.539999999994</v>
      </c>
      <c r="CZ193">
        <f>AE193</f>
        <v>79722.539999999994</v>
      </c>
      <c r="DA193">
        <f>AI193</f>
        <v>1</v>
      </c>
      <c r="DB193">
        <f>ROUND((ROUND(AT193*CZ193,2)*0),6)</f>
        <v>0</v>
      </c>
      <c r="DC193">
        <f>ROUND((ROUND(AT193*AG193,2)*0),6)</f>
        <v>0</v>
      </c>
    </row>
    <row r="194" spans="1:107" x14ac:dyDescent="0.2">
      <c r="A194">
        <f>ROW(Source!A300)</f>
        <v>300</v>
      </c>
      <c r="B194">
        <v>38799519</v>
      </c>
      <c r="C194">
        <v>38800627</v>
      </c>
      <c r="D194">
        <v>38451941</v>
      </c>
      <c r="E194">
        <v>25</v>
      </c>
      <c r="F194">
        <v>1</v>
      </c>
      <c r="G194">
        <v>27</v>
      </c>
      <c r="H194">
        <v>1</v>
      </c>
      <c r="I194" t="s">
        <v>387</v>
      </c>
      <c r="J194" t="s">
        <v>3</v>
      </c>
      <c r="K194" t="s">
        <v>388</v>
      </c>
      <c r="L194">
        <v>1191</v>
      </c>
      <c r="N194">
        <v>1013</v>
      </c>
      <c r="O194" t="s">
        <v>389</v>
      </c>
      <c r="P194" t="s">
        <v>389</v>
      </c>
      <c r="Q194">
        <v>1</v>
      </c>
      <c r="W194">
        <v>0</v>
      </c>
      <c r="X194">
        <v>476480486</v>
      </c>
      <c r="Y194">
        <v>38.979999999999997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1</v>
      </c>
      <c r="AJ194">
        <v>1</v>
      </c>
      <c r="AK194">
        <v>1</v>
      </c>
      <c r="AL194">
        <v>1</v>
      </c>
      <c r="AN194">
        <v>0</v>
      </c>
      <c r="AO194">
        <v>1</v>
      </c>
      <c r="AP194">
        <v>0</v>
      </c>
      <c r="AQ194">
        <v>0</v>
      </c>
      <c r="AR194">
        <v>0</v>
      </c>
      <c r="AS194" t="s">
        <v>3</v>
      </c>
      <c r="AT194">
        <v>38.979999999999997</v>
      </c>
      <c r="AU194" t="s">
        <v>3</v>
      </c>
      <c r="AV194">
        <v>1</v>
      </c>
      <c r="AW194">
        <v>2</v>
      </c>
      <c r="AX194">
        <v>38800632</v>
      </c>
      <c r="AY194">
        <v>1</v>
      </c>
      <c r="AZ194">
        <v>0</v>
      </c>
      <c r="BA194">
        <v>170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CX194">
        <f>Y194*Source!I300</f>
        <v>1.9489999999999998</v>
      </c>
      <c r="CY194">
        <f>AD194</f>
        <v>0</v>
      </c>
      <c r="CZ194">
        <f>AH194</f>
        <v>0</v>
      </c>
      <c r="DA194">
        <f>AL194</f>
        <v>1</v>
      </c>
      <c r="DB194">
        <f t="shared" ref="DB194:DB225" si="21">ROUND(ROUND(AT194*CZ194,2),6)</f>
        <v>0</v>
      </c>
      <c r="DC194">
        <f t="shared" ref="DC194:DC225" si="22">ROUND(ROUND(AT194*AG194,2),6)</f>
        <v>0</v>
      </c>
    </row>
    <row r="195" spans="1:107" x14ac:dyDescent="0.2">
      <c r="A195">
        <f>ROW(Source!A300)</f>
        <v>300</v>
      </c>
      <c r="B195">
        <v>38799519</v>
      </c>
      <c r="C195">
        <v>38800627</v>
      </c>
      <c r="D195">
        <v>37927811</v>
      </c>
      <c r="E195">
        <v>1</v>
      </c>
      <c r="F195">
        <v>1</v>
      </c>
      <c r="G195">
        <v>27</v>
      </c>
      <c r="H195">
        <v>2</v>
      </c>
      <c r="I195" t="s">
        <v>575</v>
      </c>
      <c r="J195" t="s">
        <v>576</v>
      </c>
      <c r="K195" t="s">
        <v>577</v>
      </c>
      <c r="L195">
        <v>1368</v>
      </c>
      <c r="N195">
        <v>1011</v>
      </c>
      <c r="O195" t="s">
        <v>393</v>
      </c>
      <c r="P195" t="s">
        <v>393</v>
      </c>
      <c r="Q195">
        <v>1</v>
      </c>
      <c r="W195">
        <v>0</v>
      </c>
      <c r="X195">
        <v>-2085106366</v>
      </c>
      <c r="Y195">
        <v>5.28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1</v>
      </c>
      <c r="AJ195">
        <v>1</v>
      </c>
      <c r="AK195">
        <v>1</v>
      </c>
      <c r="AL195">
        <v>1</v>
      </c>
      <c r="AN195">
        <v>0</v>
      </c>
      <c r="AO195">
        <v>1</v>
      </c>
      <c r="AP195">
        <v>0</v>
      </c>
      <c r="AQ195">
        <v>0</v>
      </c>
      <c r="AR195">
        <v>0</v>
      </c>
      <c r="AS195" t="s">
        <v>3</v>
      </c>
      <c r="AT195">
        <v>5.28</v>
      </c>
      <c r="AU195" t="s">
        <v>3</v>
      </c>
      <c r="AV195">
        <v>0</v>
      </c>
      <c r="AW195">
        <v>2</v>
      </c>
      <c r="AX195">
        <v>38800633</v>
      </c>
      <c r="AY195">
        <v>1</v>
      </c>
      <c r="AZ195">
        <v>0</v>
      </c>
      <c r="BA195">
        <v>171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CX195">
        <f>Y195*Source!I300</f>
        <v>0.26400000000000001</v>
      </c>
      <c r="CY195">
        <f>AB195</f>
        <v>0</v>
      </c>
      <c r="CZ195">
        <f>AF195</f>
        <v>0</v>
      </c>
      <c r="DA195">
        <f>AJ195</f>
        <v>1</v>
      </c>
      <c r="DB195">
        <f t="shared" si="21"/>
        <v>0</v>
      </c>
      <c r="DC195">
        <f t="shared" si="22"/>
        <v>0</v>
      </c>
    </row>
    <row r="196" spans="1:107" x14ac:dyDescent="0.2">
      <c r="A196">
        <f>ROW(Source!A300)</f>
        <v>300</v>
      </c>
      <c r="B196">
        <v>38799519</v>
      </c>
      <c r="C196">
        <v>38800627</v>
      </c>
      <c r="D196">
        <v>37927770</v>
      </c>
      <c r="E196">
        <v>1</v>
      </c>
      <c r="F196">
        <v>1</v>
      </c>
      <c r="G196">
        <v>27</v>
      </c>
      <c r="H196">
        <v>2</v>
      </c>
      <c r="I196" t="s">
        <v>538</v>
      </c>
      <c r="J196" t="s">
        <v>578</v>
      </c>
      <c r="K196" t="s">
        <v>540</v>
      </c>
      <c r="L196">
        <v>1368</v>
      </c>
      <c r="N196">
        <v>1011</v>
      </c>
      <c r="O196" t="s">
        <v>393</v>
      </c>
      <c r="P196" t="s">
        <v>393</v>
      </c>
      <c r="Q196">
        <v>1</v>
      </c>
      <c r="W196">
        <v>0</v>
      </c>
      <c r="X196">
        <v>1750308104</v>
      </c>
      <c r="Y196">
        <v>0.21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1</v>
      </c>
      <c r="AJ196">
        <v>1</v>
      </c>
      <c r="AK196">
        <v>1</v>
      </c>
      <c r="AL196">
        <v>1</v>
      </c>
      <c r="AN196">
        <v>0</v>
      </c>
      <c r="AO196">
        <v>1</v>
      </c>
      <c r="AP196">
        <v>0</v>
      </c>
      <c r="AQ196">
        <v>0</v>
      </c>
      <c r="AR196">
        <v>0</v>
      </c>
      <c r="AS196" t="s">
        <v>3</v>
      </c>
      <c r="AT196">
        <v>0.21</v>
      </c>
      <c r="AU196" t="s">
        <v>3</v>
      </c>
      <c r="AV196">
        <v>0</v>
      </c>
      <c r="AW196">
        <v>2</v>
      </c>
      <c r="AX196">
        <v>38800634</v>
      </c>
      <c r="AY196">
        <v>1</v>
      </c>
      <c r="AZ196">
        <v>0</v>
      </c>
      <c r="BA196">
        <v>172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CX196">
        <f>Y196*Source!I300</f>
        <v>1.0500000000000001E-2</v>
      </c>
      <c r="CY196">
        <f>AB196</f>
        <v>0</v>
      </c>
      <c r="CZ196">
        <f>AF196</f>
        <v>0</v>
      </c>
      <c r="DA196">
        <f>AJ196</f>
        <v>1</v>
      </c>
      <c r="DB196">
        <f t="shared" si="21"/>
        <v>0</v>
      </c>
      <c r="DC196">
        <f t="shared" si="22"/>
        <v>0</v>
      </c>
    </row>
    <row r="197" spans="1:107" x14ac:dyDescent="0.2">
      <c r="A197">
        <f>ROW(Source!A300)</f>
        <v>300</v>
      </c>
      <c r="B197">
        <v>38799519</v>
      </c>
      <c r="C197">
        <v>38800627</v>
      </c>
      <c r="D197">
        <v>37927788</v>
      </c>
      <c r="E197">
        <v>1</v>
      </c>
      <c r="F197">
        <v>1</v>
      </c>
      <c r="G197">
        <v>27</v>
      </c>
      <c r="H197">
        <v>2</v>
      </c>
      <c r="I197" t="s">
        <v>579</v>
      </c>
      <c r="J197" t="s">
        <v>580</v>
      </c>
      <c r="K197" t="s">
        <v>581</v>
      </c>
      <c r="L197">
        <v>1368</v>
      </c>
      <c r="N197">
        <v>1011</v>
      </c>
      <c r="O197" t="s">
        <v>393</v>
      </c>
      <c r="P197" t="s">
        <v>393</v>
      </c>
      <c r="Q197">
        <v>1</v>
      </c>
      <c r="W197">
        <v>0</v>
      </c>
      <c r="X197">
        <v>705709054</v>
      </c>
      <c r="Y197">
        <v>1.38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1</v>
      </c>
      <c r="AJ197">
        <v>1</v>
      </c>
      <c r="AK197">
        <v>1</v>
      </c>
      <c r="AL197">
        <v>1</v>
      </c>
      <c r="AN197">
        <v>0</v>
      </c>
      <c r="AO197">
        <v>1</v>
      </c>
      <c r="AP197">
        <v>0</v>
      </c>
      <c r="AQ197">
        <v>0</v>
      </c>
      <c r="AR197">
        <v>0</v>
      </c>
      <c r="AS197" t="s">
        <v>3</v>
      </c>
      <c r="AT197">
        <v>1.38</v>
      </c>
      <c r="AU197" t="s">
        <v>3</v>
      </c>
      <c r="AV197">
        <v>0</v>
      </c>
      <c r="AW197">
        <v>2</v>
      </c>
      <c r="AX197">
        <v>38800635</v>
      </c>
      <c r="AY197">
        <v>1</v>
      </c>
      <c r="AZ197">
        <v>0</v>
      </c>
      <c r="BA197">
        <v>173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CX197">
        <f>Y197*Source!I300</f>
        <v>6.8999999999999992E-2</v>
      </c>
      <c r="CY197">
        <f>AB197</f>
        <v>0</v>
      </c>
      <c r="CZ197">
        <f>AF197</f>
        <v>0</v>
      </c>
      <c r="DA197">
        <f>AJ197</f>
        <v>1</v>
      </c>
      <c r="DB197">
        <f t="shared" si="21"/>
        <v>0</v>
      </c>
      <c r="DC197">
        <f t="shared" si="22"/>
        <v>0</v>
      </c>
    </row>
    <row r="198" spans="1:107" x14ac:dyDescent="0.2">
      <c r="A198">
        <f>ROW(Source!A301)</f>
        <v>301</v>
      </c>
      <c r="B198">
        <v>38799519</v>
      </c>
      <c r="C198">
        <v>38800636</v>
      </c>
      <c r="D198">
        <v>38451941</v>
      </c>
      <c r="E198">
        <v>25</v>
      </c>
      <c r="F198">
        <v>1</v>
      </c>
      <c r="G198">
        <v>27</v>
      </c>
      <c r="H198">
        <v>1</v>
      </c>
      <c r="I198" t="s">
        <v>387</v>
      </c>
      <c r="J198" t="s">
        <v>3</v>
      </c>
      <c r="K198" t="s">
        <v>388</v>
      </c>
      <c r="L198">
        <v>1191</v>
      </c>
      <c r="N198">
        <v>1013</v>
      </c>
      <c r="O198" t="s">
        <v>389</v>
      </c>
      <c r="P198" t="s">
        <v>389</v>
      </c>
      <c r="Q198">
        <v>1</v>
      </c>
      <c r="W198">
        <v>0</v>
      </c>
      <c r="X198">
        <v>476480486</v>
      </c>
      <c r="Y198">
        <v>212.41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1</v>
      </c>
      <c r="AJ198">
        <v>1</v>
      </c>
      <c r="AK198">
        <v>1</v>
      </c>
      <c r="AL198">
        <v>1</v>
      </c>
      <c r="AN198">
        <v>0</v>
      </c>
      <c r="AO198">
        <v>1</v>
      </c>
      <c r="AP198">
        <v>0</v>
      </c>
      <c r="AQ198">
        <v>0</v>
      </c>
      <c r="AR198">
        <v>0</v>
      </c>
      <c r="AS198" t="s">
        <v>3</v>
      </c>
      <c r="AT198">
        <v>212.41</v>
      </c>
      <c r="AU198" t="s">
        <v>3</v>
      </c>
      <c r="AV198">
        <v>1</v>
      </c>
      <c r="AW198">
        <v>2</v>
      </c>
      <c r="AX198">
        <v>38800641</v>
      </c>
      <c r="AY198">
        <v>1</v>
      </c>
      <c r="AZ198">
        <v>0</v>
      </c>
      <c r="BA198">
        <v>174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CX198">
        <f>Y198*Source!I301</f>
        <v>39.295850000000002</v>
      </c>
      <c r="CY198">
        <f>AD198</f>
        <v>0</v>
      </c>
      <c r="CZ198">
        <f>AH198</f>
        <v>0</v>
      </c>
      <c r="DA198">
        <f>AL198</f>
        <v>1</v>
      </c>
      <c r="DB198">
        <f t="shared" si="21"/>
        <v>0</v>
      </c>
      <c r="DC198">
        <f t="shared" si="22"/>
        <v>0</v>
      </c>
    </row>
    <row r="199" spans="1:107" x14ac:dyDescent="0.2">
      <c r="A199">
        <f>ROW(Source!A301)</f>
        <v>301</v>
      </c>
      <c r="B199">
        <v>38799519</v>
      </c>
      <c r="C199">
        <v>38800636</v>
      </c>
      <c r="D199">
        <v>37927264</v>
      </c>
      <c r="E199">
        <v>1</v>
      </c>
      <c r="F199">
        <v>1</v>
      </c>
      <c r="G199">
        <v>27</v>
      </c>
      <c r="H199">
        <v>2</v>
      </c>
      <c r="I199" t="s">
        <v>582</v>
      </c>
      <c r="J199" t="s">
        <v>583</v>
      </c>
      <c r="K199" t="s">
        <v>584</v>
      </c>
      <c r="L199">
        <v>1368</v>
      </c>
      <c r="N199">
        <v>1011</v>
      </c>
      <c r="O199" t="s">
        <v>393</v>
      </c>
      <c r="P199" t="s">
        <v>393</v>
      </c>
      <c r="Q199">
        <v>1</v>
      </c>
      <c r="W199">
        <v>0</v>
      </c>
      <c r="X199">
        <v>1538346690</v>
      </c>
      <c r="Y199">
        <v>27.5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1</v>
      </c>
      <c r="AJ199">
        <v>1</v>
      </c>
      <c r="AK199">
        <v>1</v>
      </c>
      <c r="AL199">
        <v>1</v>
      </c>
      <c r="AN199">
        <v>0</v>
      </c>
      <c r="AO199">
        <v>1</v>
      </c>
      <c r="AP199">
        <v>0</v>
      </c>
      <c r="AQ199">
        <v>0</v>
      </c>
      <c r="AR199">
        <v>0</v>
      </c>
      <c r="AS199" t="s">
        <v>3</v>
      </c>
      <c r="AT199">
        <v>27.5</v>
      </c>
      <c r="AU199" t="s">
        <v>3</v>
      </c>
      <c r="AV199">
        <v>0</v>
      </c>
      <c r="AW199">
        <v>2</v>
      </c>
      <c r="AX199">
        <v>38800642</v>
      </c>
      <c r="AY199">
        <v>1</v>
      </c>
      <c r="AZ199">
        <v>0</v>
      </c>
      <c r="BA199">
        <v>175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CX199">
        <f>Y199*Source!I301</f>
        <v>5.0875000000000004</v>
      </c>
      <c r="CY199">
        <f>AB199</f>
        <v>0</v>
      </c>
      <c r="CZ199">
        <f>AF199</f>
        <v>0</v>
      </c>
      <c r="DA199">
        <f>AJ199</f>
        <v>1</v>
      </c>
      <c r="DB199">
        <f t="shared" si="21"/>
        <v>0</v>
      </c>
      <c r="DC199">
        <f t="shared" si="22"/>
        <v>0</v>
      </c>
    </row>
    <row r="200" spans="1:107" x14ac:dyDescent="0.2">
      <c r="A200">
        <f>ROW(Source!A301)</f>
        <v>301</v>
      </c>
      <c r="B200">
        <v>38799519</v>
      </c>
      <c r="C200">
        <v>38800636</v>
      </c>
      <c r="D200">
        <v>37927768</v>
      </c>
      <c r="E200">
        <v>1</v>
      </c>
      <c r="F200">
        <v>1</v>
      </c>
      <c r="G200">
        <v>27</v>
      </c>
      <c r="H200">
        <v>2</v>
      </c>
      <c r="I200" t="s">
        <v>415</v>
      </c>
      <c r="J200" t="s">
        <v>585</v>
      </c>
      <c r="K200" t="s">
        <v>417</v>
      </c>
      <c r="L200">
        <v>1368</v>
      </c>
      <c r="N200">
        <v>1011</v>
      </c>
      <c r="O200" t="s">
        <v>393</v>
      </c>
      <c r="P200" t="s">
        <v>393</v>
      </c>
      <c r="Q200">
        <v>1</v>
      </c>
      <c r="W200">
        <v>0</v>
      </c>
      <c r="X200">
        <v>1632052689</v>
      </c>
      <c r="Y200">
        <v>27.5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1</v>
      </c>
      <c r="AK200">
        <v>1</v>
      </c>
      <c r="AL200">
        <v>1</v>
      </c>
      <c r="AN200">
        <v>0</v>
      </c>
      <c r="AO200">
        <v>1</v>
      </c>
      <c r="AP200">
        <v>0</v>
      </c>
      <c r="AQ200">
        <v>0</v>
      </c>
      <c r="AR200">
        <v>0</v>
      </c>
      <c r="AS200" t="s">
        <v>3</v>
      </c>
      <c r="AT200">
        <v>27.5</v>
      </c>
      <c r="AU200" t="s">
        <v>3</v>
      </c>
      <c r="AV200">
        <v>0</v>
      </c>
      <c r="AW200">
        <v>2</v>
      </c>
      <c r="AX200">
        <v>38800643</v>
      </c>
      <c r="AY200">
        <v>1</v>
      </c>
      <c r="AZ200">
        <v>0</v>
      </c>
      <c r="BA200">
        <v>176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CX200">
        <f>Y200*Source!I301</f>
        <v>5.0875000000000004</v>
      </c>
      <c r="CY200">
        <f>AB200</f>
        <v>0</v>
      </c>
      <c r="CZ200">
        <f>AF200</f>
        <v>0</v>
      </c>
      <c r="DA200">
        <f>AJ200</f>
        <v>1</v>
      </c>
      <c r="DB200">
        <f t="shared" si="21"/>
        <v>0</v>
      </c>
      <c r="DC200">
        <f t="shared" si="22"/>
        <v>0</v>
      </c>
    </row>
    <row r="201" spans="1:107" x14ac:dyDescent="0.2">
      <c r="A201">
        <f>ROW(Source!A301)</f>
        <v>301</v>
      </c>
      <c r="B201">
        <v>38799519</v>
      </c>
      <c r="C201">
        <v>38800636</v>
      </c>
      <c r="D201">
        <v>38453717</v>
      </c>
      <c r="E201">
        <v>25</v>
      </c>
      <c r="F201">
        <v>1</v>
      </c>
      <c r="G201">
        <v>27</v>
      </c>
      <c r="H201">
        <v>3</v>
      </c>
      <c r="I201" t="s">
        <v>418</v>
      </c>
      <c r="J201" t="s">
        <v>3</v>
      </c>
      <c r="K201" t="s">
        <v>419</v>
      </c>
      <c r="L201">
        <v>1348</v>
      </c>
      <c r="N201">
        <v>1009</v>
      </c>
      <c r="O201" t="s">
        <v>155</v>
      </c>
      <c r="P201" t="s">
        <v>155</v>
      </c>
      <c r="Q201">
        <v>1000</v>
      </c>
      <c r="W201">
        <v>0</v>
      </c>
      <c r="X201">
        <v>1489638031</v>
      </c>
      <c r="Y201">
        <v>20.61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1</v>
      </c>
      <c r="AJ201">
        <v>1</v>
      </c>
      <c r="AK201">
        <v>1</v>
      </c>
      <c r="AL201">
        <v>1</v>
      </c>
      <c r="AN201">
        <v>0</v>
      </c>
      <c r="AO201">
        <v>1</v>
      </c>
      <c r="AP201">
        <v>0</v>
      </c>
      <c r="AQ201">
        <v>0</v>
      </c>
      <c r="AR201">
        <v>0</v>
      </c>
      <c r="AS201" t="s">
        <v>3</v>
      </c>
      <c r="AT201">
        <v>20.61</v>
      </c>
      <c r="AU201" t="s">
        <v>3</v>
      </c>
      <c r="AV201">
        <v>0</v>
      </c>
      <c r="AW201">
        <v>2</v>
      </c>
      <c r="AX201">
        <v>38800644</v>
      </c>
      <c r="AY201">
        <v>1</v>
      </c>
      <c r="AZ201">
        <v>0</v>
      </c>
      <c r="BA201">
        <v>177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CX201">
        <f>Y201*Source!I301</f>
        <v>3.8128499999999996</v>
      </c>
      <c r="CY201">
        <f>AA201</f>
        <v>0</v>
      </c>
      <c r="CZ201">
        <f>AE201</f>
        <v>0</v>
      </c>
      <c r="DA201">
        <f>AI201</f>
        <v>1</v>
      </c>
      <c r="DB201">
        <f t="shared" si="21"/>
        <v>0</v>
      </c>
      <c r="DC201">
        <f t="shared" si="22"/>
        <v>0</v>
      </c>
    </row>
    <row r="202" spans="1:107" x14ac:dyDescent="0.2">
      <c r="A202">
        <f>ROW(Source!A337)</f>
        <v>337</v>
      </c>
      <c r="B202">
        <v>38799519</v>
      </c>
      <c r="C202">
        <v>38800731</v>
      </c>
      <c r="D202">
        <v>38451941</v>
      </c>
      <c r="E202">
        <v>27</v>
      </c>
      <c r="F202">
        <v>1</v>
      </c>
      <c r="G202">
        <v>27</v>
      </c>
      <c r="H202">
        <v>1</v>
      </c>
      <c r="I202" t="s">
        <v>387</v>
      </c>
      <c r="J202" t="s">
        <v>3</v>
      </c>
      <c r="K202" t="s">
        <v>388</v>
      </c>
      <c r="L202">
        <v>1191</v>
      </c>
      <c r="N202">
        <v>1013</v>
      </c>
      <c r="O202" t="s">
        <v>389</v>
      </c>
      <c r="P202" t="s">
        <v>389</v>
      </c>
      <c r="Q202">
        <v>1</v>
      </c>
      <c r="W202">
        <v>0</v>
      </c>
      <c r="X202">
        <v>476480486</v>
      </c>
      <c r="Y202">
        <v>16.440000000000001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1</v>
      </c>
      <c r="AJ202">
        <v>1</v>
      </c>
      <c r="AK202">
        <v>1</v>
      </c>
      <c r="AL202">
        <v>1</v>
      </c>
      <c r="AN202">
        <v>0</v>
      </c>
      <c r="AO202">
        <v>1</v>
      </c>
      <c r="AP202">
        <v>0</v>
      </c>
      <c r="AQ202">
        <v>0</v>
      </c>
      <c r="AR202">
        <v>0</v>
      </c>
      <c r="AS202" t="s">
        <v>3</v>
      </c>
      <c r="AT202">
        <v>16.440000000000001</v>
      </c>
      <c r="AU202" t="s">
        <v>3</v>
      </c>
      <c r="AV202">
        <v>1</v>
      </c>
      <c r="AW202">
        <v>2</v>
      </c>
      <c r="AX202">
        <v>38800739</v>
      </c>
      <c r="AY202">
        <v>1</v>
      </c>
      <c r="AZ202">
        <v>0</v>
      </c>
      <c r="BA202">
        <v>178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CX202">
        <f>Y202*Source!I337</f>
        <v>1.3152000000000001</v>
      </c>
      <c r="CY202">
        <f>AD202</f>
        <v>0</v>
      </c>
      <c r="CZ202">
        <f>AH202</f>
        <v>0</v>
      </c>
      <c r="DA202">
        <f>AL202</f>
        <v>1</v>
      </c>
      <c r="DB202">
        <f t="shared" si="21"/>
        <v>0</v>
      </c>
      <c r="DC202">
        <f t="shared" si="22"/>
        <v>0</v>
      </c>
    </row>
    <row r="203" spans="1:107" x14ac:dyDescent="0.2">
      <c r="A203">
        <f>ROW(Source!A337)</f>
        <v>337</v>
      </c>
      <c r="B203">
        <v>38799519</v>
      </c>
      <c r="C203">
        <v>38800731</v>
      </c>
      <c r="D203">
        <v>38464567</v>
      </c>
      <c r="E203">
        <v>1</v>
      </c>
      <c r="F203">
        <v>1</v>
      </c>
      <c r="G203">
        <v>27</v>
      </c>
      <c r="H203">
        <v>2</v>
      </c>
      <c r="I203" t="s">
        <v>412</v>
      </c>
      <c r="J203" t="s">
        <v>413</v>
      </c>
      <c r="K203" t="s">
        <v>414</v>
      </c>
      <c r="L203">
        <v>1368</v>
      </c>
      <c r="N203">
        <v>1011</v>
      </c>
      <c r="O203" t="s">
        <v>393</v>
      </c>
      <c r="P203" t="s">
        <v>393</v>
      </c>
      <c r="Q203">
        <v>1</v>
      </c>
      <c r="W203">
        <v>0</v>
      </c>
      <c r="X203">
        <v>734322642</v>
      </c>
      <c r="Y203">
        <v>0.55000000000000004</v>
      </c>
      <c r="AA203">
        <v>0</v>
      </c>
      <c r="AB203">
        <v>744.2</v>
      </c>
      <c r="AC203">
        <v>423.17</v>
      </c>
      <c r="AD203">
        <v>0</v>
      </c>
      <c r="AE203">
        <v>0</v>
      </c>
      <c r="AF203">
        <v>744.2</v>
      </c>
      <c r="AG203">
        <v>423.17</v>
      </c>
      <c r="AH203">
        <v>0</v>
      </c>
      <c r="AI203">
        <v>1</v>
      </c>
      <c r="AJ203">
        <v>1</v>
      </c>
      <c r="AK203">
        <v>1</v>
      </c>
      <c r="AL203">
        <v>1</v>
      </c>
      <c r="AN203">
        <v>0</v>
      </c>
      <c r="AO203">
        <v>1</v>
      </c>
      <c r="AP203">
        <v>0</v>
      </c>
      <c r="AQ203">
        <v>0</v>
      </c>
      <c r="AR203">
        <v>0</v>
      </c>
      <c r="AS203" t="s">
        <v>3</v>
      </c>
      <c r="AT203">
        <v>0.55000000000000004</v>
      </c>
      <c r="AU203" t="s">
        <v>3</v>
      </c>
      <c r="AV203">
        <v>0</v>
      </c>
      <c r="AW203">
        <v>2</v>
      </c>
      <c r="AX203">
        <v>38800740</v>
      </c>
      <c r="AY203">
        <v>1</v>
      </c>
      <c r="AZ203">
        <v>0</v>
      </c>
      <c r="BA203">
        <v>179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CX203">
        <f>Y203*Source!I337</f>
        <v>4.4000000000000004E-2</v>
      </c>
      <c r="CY203">
        <f>AB203</f>
        <v>744.2</v>
      </c>
      <c r="CZ203">
        <f>AF203</f>
        <v>744.2</v>
      </c>
      <c r="DA203">
        <f>AJ203</f>
        <v>1</v>
      </c>
      <c r="DB203">
        <f t="shared" si="21"/>
        <v>409.31</v>
      </c>
      <c r="DC203">
        <f t="shared" si="22"/>
        <v>232.74</v>
      </c>
    </row>
    <row r="204" spans="1:107" x14ac:dyDescent="0.2">
      <c r="A204">
        <f>ROW(Source!A337)</f>
        <v>337</v>
      </c>
      <c r="B204">
        <v>38799519</v>
      </c>
      <c r="C204">
        <v>38800731</v>
      </c>
      <c r="D204">
        <v>38464689</v>
      </c>
      <c r="E204">
        <v>1</v>
      </c>
      <c r="F204">
        <v>1</v>
      </c>
      <c r="G204">
        <v>27</v>
      </c>
      <c r="H204">
        <v>2</v>
      </c>
      <c r="I204" t="s">
        <v>441</v>
      </c>
      <c r="J204" t="s">
        <v>442</v>
      </c>
      <c r="K204" t="s">
        <v>443</v>
      </c>
      <c r="L204">
        <v>1368</v>
      </c>
      <c r="N204">
        <v>1011</v>
      </c>
      <c r="O204" t="s">
        <v>393</v>
      </c>
      <c r="P204" t="s">
        <v>393</v>
      </c>
      <c r="Q204">
        <v>1</v>
      </c>
      <c r="W204">
        <v>0</v>
      </c>
      <c r="X204">
        <v>831329057</v>
      </c>
      <c r="Y204">
        <v>0.81</v>
      </c>
      <c r="AA204">
        <v>0</v>
      </c>
      <c r="AB204">
        <v>1977.07</v>
      </c>
      <c r="AC204">
        <v>1200.6500000000001</v>
      </c>
      <c r="AD204">
        <v>0</v>
      </c>
      <c r="AE204">
        <v>0</v>
      </c>
      <c r="AF204">
        <v>1977.07</v>
      </c>
      <c r="AG204">
        <v>1200.6500000000001</v>
      </c>
      <c r="AH204">
        <v>0</v>
      </c>
      <c r="AI204">
        <v>1</v>
      </c>
      <c r="AJ204">
        <v>1</v>
      </c>
      <c r="AK204">
        <v>1</v>
      </c>
      <c r="AL204">
        <v>1</v>
      </c>
      <c r="AN204">
        <v>0</v>
      </c>
      <c r="AO204">
        <v>1</v>
      </c>
      <c r="AP204">
        <v>0</v>
      </c>
      <c r="AQ204">
        <v>0</v>
      </c>
      <c r="AR204">
        <v>0</v>
      </c>
      <c r="AS204" t="s">
        <v>3</v>
      </c>
      <c r="AT204">
        <v>0.81</v>
      </c>
      <c r="AU204" t="s">
        <v>3</v>
      </c>
      <c r="AV204">
        <v>0</v>
      </c>
      <c r="AW204">
        <v>2</v>
      </c>
      <c r="AX204">
        <v>38800741</v>
      </c>
      <c r="AY204">
        <v>1</v>
      </c>
      <c r="AZ204">
        <v>0</v>
      </c>
      <c r="BA204">
        <v>180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CX204">
        <f>Y204*Source!I337</f>
        <v>6.480000000000001E-2</v>
      </c>
      <c r="CY204">
        <f>AB204</f>
        <v>1977.07</v>
      </c>
      <c r="CZ204">
        <f>AF204</f>
        <v>1977.07</v>
      </c>
      <c r="DA204">
        <f>AJ204</f>
        <v>1</v>
      </c>
      <c r="DB204">
        <f t="shared" si="21"/>
        <v>1601.43</v>
      </c>
      <c r="DC204">
        <f t="shared" si="22"/>
        <v>972.53</v>
      </c>
    </row>
    <row r="205" spans="1:107" x14ac:dyDescent="0.2">
      <c r="A205">
        <f>ROW(Source!A337)</f>
        <v>337</v>
      </c>
      <c r="B205">
        <v>38799519</v>
      </c>
      <c r="C205">
        <v>38800731</v>
      </c>
      <c r="D205">
        <v>38465034</v>
      </c>
      <c r="E205">
        <v>1</v>
      </c>
      <c r="F205">
        <v>1</v>
      </c>
      <c r="G205">
        <v>27</v>
      </c>
      <c r="H205">
        <v>2</v>
      </c>
      <c r="I205" t="s">
        <v>420</v>
      </c>
      <c r="J205" t="s">
        <v>421</v>
      </c>
      <c r="K205" t="s">
        <v>422</v>
      </c>
      <c r="L205">
        <v>1368</v>
      </c>
      <c r="N205">
        <v>1011</v>
      </c>
      <c r="O205" t="s">
        <v>393</v>
      </c>
      <c r="P205" t="s">
        <v>393</v>
      </c>
      <c r="Q205">
        <v>1</v>
      </c>
      <c r="W205">
        <v>0</v>
      </c>
      <c r="X205">
        <v>-1383996176</v>
      </c>
      <c r="Y205">
        <v>1.08</v>
      </c>
      <c r="AA205">
        <v>0</v>
      </c>
      <c r="AB205">
        <v>3.75</v>
      </c>
      <c r="AC205">
        <v>2.56</v>
      </c>
      <c r="AD205">
        <v>0</v>
      </c>
      <c r="AE205">
        <v>0</v>
      </c>
      <c r="AF205">
        <v>3.75</v>
      </c>
      <c r="AG205">
        <v>2.56</v>
      </c>
      <c r="AH205">
        <v>0</v>
      </c>
      <c r="AI205">
        <v>1</v>
      </c>
      <c r="AJ205">
        <v>1</v>
      </c>
      <c r="AK205">
        <v>1</v>
      </c>
      <c r="AL205">
        <v>1</v>
      </c>
      <c r="AN205">
        <v>0</v>
      </c>
      <c r="AO205">
        <v>1</v>
      </c>
      <c r="AP205">
        <v>0</v>
      </c>
      <c r="AQ205">
        <v>0</v>
      </c>
      <c r="AR205">
        <v>0</v>
      </c>
      <c r="AS205" t="s">
        <v>3</v>
      </c>
      <c r="AT205">
        <v>1.08</v>
      </c>
      <c r="AU205" t="s">
        <v>3</v>
      </c>
      <c r="AV205">
        <v>0</v>
      </c>
      <c r="AW205">
        <v>2</v>
      </c>
      <c r="AX205">
        <v>38800742</v>
      </c>
      <c r="AY205">
        <v>1</v>
      </c>
      <c r="AZ205">
        <v>0</v>
      </c>
      <c r="BA205">
        <v>181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CX205">
        <f>Y205*Source!I337</f>
        <v>8.6400000000000005E-2</v>
      </c>
      <c r="CY205">
        <f>AB205</f>
        <v>3.75</v>
      </c>
      <c r="CZ205">
        <f>AF205</f>
        <v>3.75</v>
      </c>
      <c r="DA205">
        <f>AJ205</f>
        <v>1</v>
      </c>
      <c r="DB205">
        <f t="shared" si="21"/>
        <v>4.05</v>
      </c>
      <c r="DC205">
        <f t="shared" si="22"/>
        <v>2.76</v>
      </c>
    </row>
    <row r="206" spans="1:107" x14ac:dyDescent="0.2">
      <c r="A206">
        <f>ROW(Source!A337)</f>
        <v>337</v>
      </c>
      <c r="B206">
        <v>38799519</v>
      </c>
      <c r="C206">
        <v>38800731</v>
      </c>
      <c r="D206">
        <v>38465228</v>
      </c>
      <c r="E206">
        <v>1</v>
      </c>
      <c r="F206">
        <v>1</v>
      </c>
      <c r="G206">
        <v>27</v>
      </c>
      <c r="H206">
        <v>3</v>
      </c>
      <c r="I206" t="s">
        <v>444</v>
      </c>
      <c r="J206" t="s">
        <v>445</v>
      </c>
      <c r="K206" t="s">
        <v>446</v>
      </c>
      <c r="L206">
        <v>1348</v>
      </c>
      <c r="N206">
        <v>1009</v>
      </c>
      <c r="O206" t="s">
        <v>155</v>
      </c>
      <c r="P206" t="s">
        <v>155</v>
      </c>
      <c r="Q206">
        <v>1000</v>
      </c>
      <c r="W206">
        <v>0</v>
      </c>
      <c r="X206">
        <v>1123680579</v>
      </c>
      <c r="Y206">
        <v>6.9000000000000006E-2</v>
      </c>
      <c r="AA206">
        <v>36258.75</v>
      </c>
      <c r="AB206">
        <v>0</v>
      </c>
      <c r="AC206">
        <v>0</v>
      </c>
      <c r="AD206">
        <v>0</v>
      </c>
      <c r="AE206">
        <v>36258.75</v>
      </c>
      <c r="AF206">
        <v>0</v>
      </c>
      <c r="AG206">
        <v>0</v>
      </c>
      <c r="AH206">
        <v>0</v>
      </c>
      <c r="AI206">
        <v>1</v>
      </c>
      <c r="AJ206">
        <v>1</v>
      </c>
      <c r="AK206">
        <v>1</v>
      </c>
      <c r="AL206">
        <v>1</v>
      </c>
      <c r="AN206">
        <v>0</v>
      </c>
      <c r="AO206">
        <v>1</v>
      </c>
      <c r="AP206">
        <v>0</v>
      </c>
      <c r="AQ206">
        <v>0</v>
      </c>
      <c r="AR206">
        <v>0</v>
      </c>
      <c r="AS206" t="s">
        <v>3</v>
      </c>
      <c r="AT206">
        <v>6.9000000000000006E-2</v>
      </c>
      <c r="AU206" t="s">
        <v>3</v>
      </c>
      <c r="AV206">
        <v>0</v>
      </c>
      <c r="AW206">
        <v>2</v>
      </c>
      <c r="AX206">
        <v>38800743</v>
      </c>
      <c r="AY206">
        <v>1</v>
      </c>
      <c r="AZ206">
        <v>0</v>
      </c>
      <c r="BA206">
        <v>182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CX206">
        <f>Y206*Source!I337</f>
        <v>5.5200000000000006E-3</v>
      </c>
      <c r="CY206">
        <f>AA206</f>
        <v>36258.75</v>
      </c>
      <c r="CZ206">
        <f>AE206</f>
        <v>36258.75</v>
      </c>
      <c r="DA206">
        <f>AI206</f>
        <v>1</v>
      </c>
      <c r="DB206">
        <f t="shared" si="21"/>
        <v>2501.85</v>
      </c>
      <c r="DC206">
        <f t="shared" si="22"/>
        <v>0</v>
      </c>
    </row>
    <row r="207" spans="1:107" x14ac:dyDescent="0.2">
      <c r="A207">
        <f>ROW(Source!A337)</f>
        <v>337</v>
      </c>
      <c r="B207">
        <v>38799519</v>
      </c>
      <c r="C207">
        <v>38800731</v>
      </c>
      <c r="D207">
        <v>38465769</v>
      </c>
      <c r="E207">
        <v>1</v>
      </c>
      <c r="F207">
        <v>1</v>
      </c>
      <c r="G207">
        <v>27</v>
      </c>
      <c r="H207">
        <v>3</v>
      </c>
      <c r="I207" t="s">
        <v>447</v>
      </c>
      <c r="J207" t="s">
        <v>448</v>
      </c>
      <c r="K207" t="s">
        <v>449</v>
      </c>
      <c r="L207">
        <v>1339</v>
      </c>
      <c r="N207">
        <v>1007</v>
      </c>
      <c r="O207" t="s">
        <v>35</v>
      </c>
      <c r="P207" t="s">
        <v>35</v>
      </c>
      <c r="Q207">
        <v>1</v>
      </c>
      <c r="W207">
        <v>0</v>
      </c>
      <c r="X207">
        <v>-1674634845</v>
      </c>
      <c r="Y207">
        <v>0.01</v>
      </c>
      <c r="AA207">
        <v>7064.05</v>
      </c>
      <c r="AB207">
        <v>0</v>
      </c>
      <c r="AC207">
        <v>0</v>
      </c>
      <c r="AD207">
        <v>0</v>
      </c>
      <c r="AE207">
        <v>7064.05</v>
      </c>
      <c r="AF207">
        <v>0</v>
      </c>
      <c r="AG207">
        <v>0</v>
      </c>
      <c r="AH207">
        <v>0</v>
      </c>
      <c r="AI207">
        <v>1</v>
      </c>
      <c r="AJ207">
        <v>1</v>
      </c>
      <c r="AK207">
        <v>1</v>
      </c>
      <c r="AL207">
        <v>1</v>
      </c>
      <c r="AN207">
        <v>0</v>
      </c>
      <c r="AO207">
        <v>1</v>
      </c>
      <c r="AP207">
        <v>0</v>
      </c>
      <c r="AQ207">
        <v>0</v>
      </c>
      <c r="AR207">
        <v>0</v>
      </c>
      <c r="AS207" t="s">
        <v>3</v>
      </c>
      <c r="AT207">
        <v>0.01</v>
      </c>
      <c r="AU207" t="s">
        <v>3</v>
      </c>
      <c r="AV207">
        <v>0</v>
      </c>
      <c r="AW207">
        <v>2</v>
      </c>
      <c r="AX207">
        <v>38800744</v>
      </c>
      <c r="AY207">
        <v>1</v>
      </c>
      <c r="AZ207">
        <v>0</v>
      </c>
      <c r="BA207">
        <v>183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CX207">
        <f>Y207*Source!I337</f>
        <v>8.0000000000000004E-4</v>
      </c>
      <c r="CY207">
        <f>AA207</f>
        <v>7064.05</v>
      </c>
      <c r="CZ207">
        <f>AE207</f>
        <v>7064.05</v>
      </c>
      <c r="DA207">
        <f>AI207</f>
        <v>1</v>
      </c>
      <c r="DB207">
        <f t="shared" si="21"/>
        <v>70.64</v>
      </c>
      <c r="DC207">
        <f t="shared" si="22"/>
        <v>0</v>
      </c>
    </row>
    <row r="208" spans="1:107" x14ac:dyDescent="0.2">
      <c r="A208">
        <f>ROW(Source!A337)</f>
        <v>337</v>
      </c>
      <c r="B208">
        <v>38799519</v>
      </c>
      <c r="C208">
        <v>38800731</v>
      </c>
      <c r="D208">
        <v>38468294</v>
      </c>
      <c r="E208">
        <v>1</v>
      </c>
      <c r="F208">
        <v>1</v>
      </c>
      <c r="G208">
        <v>27</v>
      </c>
      <c r="H208">
        <v>3</v>
      </c>
      <c r="I208" t="s">
        <v>450</v>
      </c>
      <c r="J208" t="s">
        <v>451</v>
      </c>
      <c r="K208" t="s">
        <v>452</v>
      </c>
      <c r="L208">
        <v>1348</v>
      </c>
      <c r="N208">
        <v>1009</v>
      </c>
      <c r="O208" t="s">
        <v>155</v>
      </c>
      <c r="P208" t="s">
        <v>155</v>
      </c>
      <c r="Q208">
        <v>1000</v>
      </c>
      <c r="W208">
        <v>0</v>
      </c>
      <c r="X208">
        <v>1103439754</v>
      </c>
      <c r="Y208">
        <v>5.79</v>
      </c>
      <c r="AA208">
        <v>2562.79</v>
      </c>
      <c r="AB208">
        <v>0</v>
      </c>
      <c r="AC208">
        <v>0</v>
      </c>
      <c r="AD208">
        <v>0</v>
      </c>
      <c r="AE208">
        <v>2562.79</v>
      </c>
      <c r="AF208">
        <v>0</v>
      </c>
      <c r="AG208">
        <v>0</v>
      </c>
      <c r="AH208">
        <v>0</v>
      </c>
      <c r="AI208">
        <v>1</v>
      </c>
      <c r="AJ208">
        <v>1</v>
      </c>
      <c r="AK208">
        <v>1</v>
      </c>
      <c r="AL208">
        <v>1</v>
      </c>
      <c r="AN208">
        <v>0</v>
      </c>
      <c r="AO208">
        <v>1</v>
      </c>
      <c r="AP208">
        <v>0</v>
      </c>
      <c r="AQ208">
        <v>0</v>
      </c>
      <c r="AR208">
        <v>0</v>
      </c>
      <c r="AS208" t="s">
        <v>3</v>
      </c>
      <c r="AT208">
        <v>5.79</v>
      </c>
      <c r="AU208" t="s">
        <v>3</v>
      </c>
      <c r="AV208">
        <v>0</v>
      </c>
      <c r="AW208">
        <v>2</v>
      </c>
      <c r="AX208">
        <v>38800745</v>
      </c>
      <c r="AY208">
        <v>1</v>
      </c>
      <c r="AZ208">
        <v>0</v>
      </c>
      <c r="BA208">
        <v>184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CX208">
        <f>Y208*Source!I337</f>
        <v>0.4632</v>
      </c>
      <c r="CY208">
        <f>AA208</f>
        <v>2562.79</v>
      </c>
      <c r="CZ208">
        <f>AE208</f>
        <v>2562.79</v>
      </c>
      <c r="DA208">
        <f>AI208</f>
        <v>1</v>
      </c>
      <c r="DB208">
        <f t="shared" si="21"/>
        <v>14838.55</v>
      </c>
      <c r="DC208">
        <f t="shared" si="22"/>
        <v>0</v>
      </c>
    </row>
    <row r="209" spans="1:107" x14ac:dyDescent="0.2">
      <c r="A209">
        <f>ROW(Source!A338)</f>
        <v>338</v>
      </c>
      <c r="B209">
        <v>38799519</v>
      </c>
      <c r="C209">
        <v>38800746</v>
      </c>
      <c r="D209">
        <v>38451941</v>
      </c>
      <c r="E209">
        <v>27</v>
      </c>
      <c r="F209">
        <v>1</v>
      </c>
      <c r="G209">
        <v>27</v>
      </c>
      <c r="H209">
        <v>1</v>
      </c>
      <c r="I209" t="s">
        <v>387</v>
      </c>
      <c r="J209" t="s">
        <v>3</v>
      </c>
      <c r="K209" t="s">
        <v>388</v>
      </c>
      <c r="L209">
        <v>1191</v>
      </c>
      <c r="N209">
        <v>1013</v>
      </c>
      <c r="O209" t="s">
        <v>389</v>
      </c>
      <c r="P209" t="s">
        <v>389</v>
      </c>
      <c r="Q209">
        <v>1</v>
      </c>
      <c r="W209">
        <v>0</v>
      </c>
      <c r="X209">
        <v>476480486</v>
      </c>
      <c r="Y209">
        <v>2.31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1</v>
      </c>
      <c r="AJ209">
        <v>1</v>
      </c>
      <c r="AK209">
        <v>1</v>
      </c>
      <c r="AL209">
        <v>1</v>
      </c>
      <c r="AN209">
        <v>0</v>
      </c>
      <c r="AO209">
        <v>1</v>
      </c>
      <c r="AP209">
        <v>0</v>
      </c>
      <c r="AQ209">
        <v>0</v>
      </c>
      <c r="AR209">
        <v>0</v>
      </c>
      <c r="AS209" t="s">
        <v>3</v>
      </c>
      <c r="AT209">
        <v>2.31</v>
      </c>
      <c r="AU209" t="s">
        <v>3</v>
      </c>
      <c r="AV209">
        <v>1</v>
      </c>
      <c r="AW209">
        <v>2</v>
      </c>
      <c r="AX209">
        <v>38800751</v>
      </c>
      <c r="AY209">
        <v>1</v>
      </c>
      <c r="AZ209">
        <v>0</v>
      </c>
      <c r="BA209">
        <v>185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CX209">
        <f>Y209*Source!I338</f>
        <v>0.18480000000000002</v>
      </c>
      <c r="CY209">
        <f>AD209</f>
        <v>0</v>
      </c>
      <c r="CZ209">
        <f>AH209</f>
        <v>0</v>
      </c>
      <c r="DA209">
        <f>AL209</f>
        <v>1</v>
      </c>
      <c r="DB209">
        <f t="shared" si="21"/>
        <v>0</v>
      </c>
      <c r="DC209">
        <f t="shared" si="22"/>
        <v>0</v>
      </c>
    </row>
    <row r="210" spans="1:107" x14ac:dyDescent="0.2">
      <c r="A210">
        <f>ROW(Source!A338)</f>
        <v>338</v>
      </c>
      <c r="B210">
        <v>38799519</v>
      </c>
      <c r="C210">
        <v>38800746</v>
      </c>
      <c r="D210">
        <v>38464567</v>
      </c>
      <c r="E210">
        <v>1</v>
      </c>
      <c r="F210">
        <v>1</v>
      </c>
      <c r="G210">
        <v>27</v>
      </c>
      <c r="H210">
        <v>2</v>
      </c>
      <c r="I210" t="s">
        <v>412</v>
      </c>
      <c r="J210" t="s">
        <v>413</v>
      </c>
      <c r="K210" t="s">
        <v>414</v>
      </c>
      <c r="L210">
        <v>1368</v>
      </c>
      <c r="N210">
        <v>1011</v>
      </c>
      <c r="O210" t="s">
        <v>393</v>
      </c>
      <c r="P210" t="s">
        <v>393</v>
      </c>
      <c r="Q210">
        <v>1</v>
      </c>
      <c r="W210">
        <v>0</v>
      </c>
      <c r="X210">
        <v>734322642</v>
      </c>
      <c r="Y210">
        <v>0.14000000000000001</v>
      </c>
      <c r="AA210">
        <v>0</v>
      </c>
      <c r="AB210">
        <v>744.2</v>
      </c>
      <c r="AC210">
        <v>423.17</v>
      </c>
      <c r="AD210">
        <v>0</v>
      </c>
      <c r="AE210">
        <v>0</v>
      </c>
      <c r="AF210">
        <v>744.2</v>
      </c>
      <c r="AG210">
        <v>423.17</v>
      </c>
      <c r="AH210">
        <v>0</v>
      </c>
      <c r="AI210">
        <v>1</v>
      </c>
      <c r="AJ210">
        <v>1</v>
      </c>
      <c r="AK210">
        <v>1</v>
      </c>
      <c r="AL210">
        <v>1</v>
      </c>
      <c r="AN210">
        <v>0</v>
      </c>
      <c r="AO210">
        <v>1</v>
      </c>
      <c r="AP210">
        <v>0</v>
      </c>
      <c r="AQ210">
        <v>0</v>
      </c>
      <c r="AR210">
        <v>0</v>
      </c>
      <c r="AS210" t="s">
        <v>3</v>
      </c>
      <c r="AT210">
        <v>0.14000000000000001</v>
      </c>
      <c r="AU210" t="s">
        <v>3</v>
      </c>
      <c r="AV210">
        <v>0</v>
      </c>
      <c r="AW210">
        <v>2</v>
      </c>
      <c r="AX210">
        <v>38800752</v>
      </c>
      <c r="AY210">
        <v>1</v>
      </c>
      <c r="AZ210">
        <v>0</v>
      </c>
      <c r="BA210">
        <v>186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CX210">
        <f>Y210*Source!I338</f>
        <v>1.1200000000000002E-2</v>
      </c>
      <c r="CY210">
        <f>AB210</f>
        <v>744.2</v>
      </c>
      <c r="CZ210">
        <f>AF210</f>
        <v>744.2</v>
      </c>
      <c r="DA210">
        <f>AJ210</f>
        <v>1</v>
      </c>
      <c r="DB210">
        <f t="shared" si="21"/>
        <v>104.19</v>
      </c>
      <c r="DC210">
        <f t="shared" si="22"/>
        <v>59.24</v>
      </c>
    </row>
    <row r="211" spans="1:107" x14ac:dyDescent="0.2">
      <c r="A211">
        <f>ROW(Source!A338)</f>
        <v>338</v>
      </c>
      <c r="B211">
        <v>38799519</v>
      </c>
      <c r="C211">
        <v>38800746</v>
      </c>
      <c r="D211">
        <v>38465034</v>
      </c>
      <c r="E211">
        <v>1</v>
      </c>
      <c r="F211">
        <v>1</v>
      </c>
      <c r="G211">
        <v>27</v>
      </c>
      <c r="H211">
        <v>2</v>
      </c>
      <c r="I211" t="s">
        <v>420</v>
      </c>
      <c r="J211" t="s">
        <v>421</v>
      </c>
      <c r="K211" t="s">
        <v>422</v>
      </c>
      <c r="L211">
        <v>1368</v>
      </c>
      <c r="N211">
        <v>1011</v>
      </c>
      <c r="O211" t="s">
        <v>393</v>
      </c>
      <c r="P211" t="s">
        <v>393</v>
      </c>
      <c r="Q211">
        <v>1</v>
      </c>
      <c r="W211">
        <v>0</v>
      </c>
      <c r="X211">
        <v>-1383996176</v>
      </c>
      <c r="Y211">
        <v>0.28000000000000003</v>
      </c>
      <c r="AA211">
        <v>0</v>
      </c>
      <c r="AB211">
        <v>3.75</v>
      </c>
      <c r="AC211">
        <v>2.56</v>
      </c>
      <c r="AD211">
        <v>0</v>
      </c>
      <c r="AE211">
        <v>0</v>
      </c>
      <c r="AF211">
        <v>3.75</v>
      </c>
      <c r="AG211">
        <v>2.56</v>
      </c>
      <c r="AH211">
        <v>0</v>
      </c>
      <c r="AI211">
        <v>1</v>
      </c>
      <c r="AJ211">
        <v>1</v>
      </c>
      <c r="AK211">
        <v>1</v>
      </c>
      <c r="AL211">
        <v>1</v>
      </c>
      <c r="AN211">
        <v>0</v>
      </c>
      <c r="AO211">
        <v>1</v>
      </c>
      <c r="AP211">
        <v>0</v>
      </c>
      <c r="AQ211">
        <v>0</v>
      </c>
      <c r="AR211">
        <v>0</v>
      </c>
      <c r="AS211" t="s">
        <v>3</v>
      </c>
      <c r="AT211">
        <v>0.28000000000000003</v>
      </c>
      <c r="AU211" t="s">
        <v>3</v>
      </c>
      <c r="AV211">
        <v>0</v>
      </c>
      <c r="AW211">
        <v>2</v>
      </c>
      <c r="AX211">
        <v>38800753</v>
      </c>
      <c r="AY211">
        <v>1</v>
      </c>
      <c r="AZ211">
        <v>0</v>
      </c>
      <c r="BA211">
        <v>187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CX211">
        <f>Y211*Source!I338</f>
        <v>2.2400000000000003E-2</v>
      </c>
      <c r="CY211">
        <f>AB211</f>
        <v>3.75</v>
      </c>
      <c r="CZ211">
        <f>AF211</f>
        <v>3.75</v>
      </c>
      <c r="DA211">
        <f>AJ211</f>
        <v>1</v>
      </c>
      <c r="DB211">
        <f t="shared" si="21"/>
        <v>1.05</v>
      </c>
      <c r="DC211">
        <f t="shared" si="22"/>
        <v>0.72</v>
      </c>
    </row>
    <row r="212" spans="1:107" x14ac:dyDescent="0.2">
      <c r="A212">
        <f>ROW(Source!A338)</f>
        <v>338</v>
      </c>
      <c r="B212">
        <v>38799519</v>
      </c>
      <c r="C212">
        <v>38800746</v>
      </c>
      <c r="D212">
        <v>38468294</v>
      </c>
      <c r="E212">
        <v>1</v>
      </c>
      <c r="F212">
        <v>1</v>
      </c>
      <c r="G212">
        <v>27</v>
      </c>
      <c r="H212">
        <v>3</v>
      </c>
      <c r="I212" t="s">
        <v>450</v>
      </c>
      <c r="J212" t="s">
        <v>451</v>
      </c>
      <c r="K212" t="s">
        <v>452</v>
      </c>
      <c r="L212">
        <v>1348</v>
      </c>
      <c r="N212">
        <v>1009</v>
      </c>
      <c r="O212" t="s">
        <v>155</v>
      </c>
      <c r="P212" t="s">
        <v>155</v>
      </c>
      <c r="Q212">
        <v>1000</v>
      </c>
      <c r="W212">
        <v>0</v>
      </c>
      <c r="X212">
        <v>1103439754</v>
      </c>
      <c r="Y212">
        <v>1.1599999999999999</v>
      </c>
      <c r="AA212">
        <v>2562.79</v>
      </c>
      <c r="AB212">
        <v>0</v>
      </c>
      <c r="AC212">
        <v>0</v>
      </c>
      <c r="AD212">
        <v>0</v>
      </c>
      <c r="AE212">
        <v>2562.79</v>
      </c>
      <c r="AF212">
        <v>0</v>
      </c>
      <c r="AG212">
        <v>0</v>
      </c>
      <c r="AH212">
        <v>0</v>
      </c>
      <c r="AI212">
        <v>1</v>
      </c>
      <c r="AJ212">
        <v>1</v>
      </c>
      <c r="AK212">
        <v>1</v>
      </c>
      <c r="AL212">
        <v>1</v>
      </c>
      <c r="AN212">
        <v>0</v>
      </c>
      <c r="AO212">
        <v>1</v>
      </c>
      <c r="AP212">
        <v>0</v>
      </c>
      <c r="AQ212">
        <v>0</v>
      </c>
      <c r="AR212">
        <v>0</v>
      </c>
      <c r="AS212" t="s">
        <v>3</v>
      </c>
      <c r="AT212">
        <v>1.1599999999999999</v>
      </c>
      <c r="AU212" t="s">
        <v>3</v>
      </c>
      <c r="AV212">
        <v>0</v>
      </c>
      <c r="AW212">
        <v>2</v>
      </c>
      <c r="AX212">
        <v>38800754</v>
      </c>
      <c r="AY212">
        <v>1</v>
      </c>
      <c r="AZ212">
        <v>0</v>
      </c>
      <c r="BA212">
        <v>188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CX212">
        <f>Y212*Source!I338</f>
        <v>9.2799999999999994E-2</v>
      </c>
      <c r="CY212">
        <f>AA212</f>
        <v>2562.79</v>
      </c>
      <c r="CZ212">
        <f>AE212</f>
        <v>2562.79</v>
      </c>
      <c r="DA212">
        <f>AI212</f>
        <v>1</v>
      </c>
      <c r="DB212">
        <f t="shared" si="21"/>
        <v>2972.84</v>
      </c>
      <c r="DC212">
        <f t="shared" si="22"/>
        <v>0</v>
      </c>
    </row>
    <row r="213" spans="1:107" x14ac:dyDescent="0.2">
      <c r="A213">
        <f>ROW(Source!A339)</f>
        <v>339</v>
      </c>
      <c r="B213">
        <v>38799519</v>
      </c>
      <c r="C213">
        <v>38800755</v>
      </c>
      <c r="D213">
        <v>38451941</v>
      </c>
      <c r="E213">
        <v>27</v>
      </c>
      <c r="F213">
        <v>1</v>
      </c>
      <c r="G213">
        <v>27</v>
      </c>
      <c r="H213">
        <v>1</v>
      </c>
      <c r="I213" t="s">
        <v>387</v>
      </c>
      <c r="J213" t="s">
        <v>3</v>
      </c>
      <c r="K213" t="s">
        <v>388</v>
      </c>
      <c r="L213">
        <v>1191</v>
      </c>
      <c r="N213">
        <v>1013</v>
      </c>
      <c r="O213" t="s">
        <v>389</v>
      </c>
      <c r="P213" t="s">
        <v>389</v>
      </c>
      <c r="Q213">
        <v>1</v>
      </c>
      <c r="W213">
        <v>0</v>
      </c>
      <c r="X213">
        <v>476480486</v>
      </c>
      <c r="Y213">
        <v>87.4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1</v>
      </c>
      <c r="AJ213">
        <v>1</v>
      </c>
      <c r="AK213">
        <v>1</v>
      </c>
      <c r="AL213">
        <v>1</v>
      </c>
      <c r="AN213">
        <v>0</v>
      </c>
      <c r="AO213">
        <v>1</v>
      </c>
      <c r="AP213">
        <v>0</v>
      </c>
      <c r="AQ213">
        <v>0</v>
      </c>
      <c r="AR213">
        <v>0</v>
      </c>
      <c r="AS213" t="s">
        <v>3</v>
      </c>
      <c r="AT213">
        <v>87.4</v>
      </c>
      <c r="AU213" t="s">
        <v>3</v>
      </c>
      <c r="AV213">
        <v>1</v>
      </c>
      <c r="AW213">
        <v>2</v>
      </c>
      <c r="AX213">
        <v>38800761</v>
      </c>
      <c r="AY213">
        <v>1</v>
      </c>
      <c r="AZ213">
        <v>0</v>
      </c>
      <c r="BA213">
        <v>189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CX213">
        <f>Y213*Source!I339</f>
        <v>34.96</v>
      </c>
      <c r="CY213">
        <f>AD213</f>
        <v>0</v>
      </c>
      <c r="CZ213">
        <f>AH213</f>
        <v>0</v>
      </c>
      <c r="DA213">
        <f>AL213</f>
        <v>1</v>
      </c>
      <c r="DB213">
        <f t="shared" si="21"/>
        <v>0</v>
      </c>
      <c r="DC213">
        <f t="shared" si="22"/>
        <v>0</v>
      </c>
    </row>
    <row r="214" spans="1:107" x14ac:dyDescent="0.2">
      <c r="A214">
        <f>ROW(Source!A339)</f>
        <v>339</v>
      </c>
      <c r="B214">
        <v>38799519</v>
      </c>
      <c r="C214">
        <v>38800755</v>
      </c>
      <c r="D214">
        <v>38464342</v>
      </c>
      <c r="E214">
        <v>1</v>
      </c>
      <c r="F214">
        <v>1</v>
      </c>
      <c r="G214">
        <v>27</v>
      </c>
      <c r="H214">
        <v>2</v>
      </c>
      <c r="I214" t="s">
        <v>520</v>
      </c>
      <c r="J214" t="s">
        <v>521</v>
      </c>
      <c r="K214" t="s">
        <v>522</v>
      </c>
      <c r="L214">
        <v>1368</v>
      </c>
      <c r="N214">
        <v>1011</v>
      </c>
      <c r="O214" t="s">
        <v>393</v>
      </c>
      <c r="P214" t="s">
        <v>393</v>
      </c>
      <c r="Q214">
        <v>1</v>
      </c>
      <c r="W214">
        <v>0</v>
      </c>
      <c r="X214">
        <v>-204835879</v>
      </c>
      <c r="Y214">
        <v>19</v>
      </c>
      <c r="AA214">
        <v>0</v>
      </c>
      <c r="AB214">
        <v>31</v>
      </c>
      <c r="AC214">
        <v>1.35</v>
      </c>
      <c r="AD214">
        <v>0</v>
      </c>
      <c r="AE214">
        <v>0</v>
      </c>
      <c r="AF214">
        <v>31</v>
      </c>
      <c r="AG214">
        <v>1.35</v>
      </c>
      <c r="AH214">
        <v>0</v>
      </c>
      <c r="AI214">
        <v>1</v>
      </c>
      <c r="AJ214">
        <v>1</v>
      </c>
      <c r="AK214">
        <v>1</v>
      </c>
      <c r="AL214">
        <v>1</v>
      </c>
      <c r="AN214">
        <v>0</v>
      </c>
      <c r="AO214">
        <v>1</v>
      </c>
      <c r="AP214">
        <v>0</v>
      </c>
      <c r="AQ214">
        <v>0</v>
      </c>
      <c r="AR214">
        <v>0</v>
      </c>
      <c r="AS214" t="s">
        <v>3</v>
      </c>
      <c r="AT214">
        <v>19</v>
      </c>
      <c r="AU214" t="s">
        <v>3</v>
      </c>
      <c r="AV214">
        <v>0</v>
      </c>
      <c r="AW214">
        <v>2</v>
      </c>
      <c r="AX214">
        <v>38800762</v>
      </c>
      <c r="AY214">
        <v>1</v>
      </c>
      <c r="AZ214">
        <v>0</v>
      </c>
      <c r="BA214">
        <v>190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CX214">
        <f>Y214*Source!I339</f>
        <v>7.6000000000000005</v>
      </c>
      <c r="CY214">
        <f>AB214</f>
        <v>31</v>
      </c>
      <c r="CZ214">
        <f>AF214</f>
        <v>31</v>
      </c>
      <c r="DA214">
        <f>AJ214</f>
        <v>1</v>
      </c>
      <c r="DB214">
        <f t="shared" si="21"/>
        <v>589</v>
      </c>
      <c r="DC214">
        <f t="shared" si="22"/>
        <v>25.65</v>
      </c>
    </row>
    <row r="215" spans="1:107" x14ac:dyDescent="0.2">
      <c r="A215">
        <f>ROW(Source!A339)</f>
        <v>339</v>
      </c>
      <c r="B215">
        <v>38799519</v>
      </c>
      <c r="C215">
        <v>38800755</v>
      </c>
      <c r="D215">
        <v>38466161</v>
      </c>
      <c r="E215">
        <v>1</v>
      </c>
      <c r="F215">
        <v>1</v>
      </c>
      <c r="G215">
        <v>27</v>
      </c>
      <c r="H215">
        <v>3</v>
      </c>
      <c r="I215" t="s">
        <v>523</v>
      </c>
      <c r="J215" t="s">
        <v>524</v>
      </c>
      <c r="K215" t="s">
        <v>525</v>
      </c>
      <c r="L215">
        <v>1348</v>
      </c>
      <c r="N215">
        <v>1009</v>
      </c>
      <c r="O215" t="s">
        <v>155</v>
      </c>
      <c r="P215" t="s">
        <v>155</v>
      </c>
      <c r="Q215">
        <v>1000</v>
      </c>
      <c r="W215">
        <v>0</v>
      </c>
      <c r="X215">
        <v>-1356276541</v>
      </c>
      <c r="Y215">
        <v>3.3E-3</v>
      </c>
      <c r="AA215">
        <v>105084.63</v>
      </c>
      <c r="AB215">
        <v>0</v>
      </c>
      <c r="AC215">
        <v>0</v>
      </c>
      <c r="AD215">
        <v>0</v>
      </c>
      <c r="AE215">
        <v>105084.63</v>
      </c>
      <c r="AF215">
        <v>0</v>
      </c>
      <c r="AG215">
        <v>0</v>
      </c>
      <c r="AH215">
        <v>0</v>
      </c>
      <c r="AI215">
        <v>1</v>
      </c>
      <c r="AJ215">
        <v>1</v>
      </c>
      <c r="AK215">
        <v>1</v>
      </c>
      <c r="AL215">
        <v>1</v>
      </c>
      <c r="AN215">
        <v>0</v>
      </c>
      <c r="AO215">
        <v>1</v>
      </c>
      <c r="AP215">
        <v>0</v>
      </c>
      <c r="AQ215">
        <v>0</v>
      </c>
      <c r="AR215">
        <v>0</v>
      </c>
      <c r="AS215" t="s">
        <v>3</v>
      </c>
      <c r="AT215">
        <v>3.3E-3</v>
      </c>
      <c r="AU215" t="s">
        <v>3</v>
      </c>
      <c r="AV215">
        <v>0</v>
      </c>
      <c r="AW215">
        <v>2</v>
      </c>
      <c r="AX215">
        <v>38800763</v>
      </c>
      <c r="AY215">
        <v>1</v>
      </c>
      <c r="AZ215">
        <v>0</v>
      </c>
      <c r="BA215">
        <v>191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CX215">
        <f>Y215*Source!I339</f>
        <v>1.32E-3</v>
      </c>
      <c r="CY215">
        <f>AA215</f>
        <v>105084.63</v>
      </c>
      <c r="CZ215">
        <f>AE215</f>
        <v>105084.63</v>
      </c>
      <c r="DA215">
        <f>AI215</f>
        <v>1</v>
      </c>
      <c r="DB215">
        <f t="shared" si="21"/>
        <v>346.78</v>
      </c>
      <c r="DC215">
        <f t="shared" si="22"/>
        <v>0</v>
      </c>
    </row>
    <row r="216" spans="1:107" x14ac:dyDescent="0.2">
      <c r="A216">
        <f>ROW(Source!A339)</f>
        <v>339</v>
      </c>
      <c r="B216">
        <v>38799519</v>
      </c>
      <c r="C216">
        <v>38800755</v>
      </c>
      <c r="D216">
        <v>38467018</v>
      </c>
      <c r="E216">
        <v>1</v>
      </c>
      <c r="F216">
        <v>1</v>
      </c>
      <c r="G216">
        <v>27</v>
      </c>
      <c r="H216">
        <v>3</v>
      </c>
      <c r="I216" t="s">
        <v>496</v>
      </c>
      <c r="J216" t="s">
        <v>497</v>
      </c>
      <c r="K216" t="s">
        <v>498</v>
      </c>
      <c r="L216">
        <v>1348</v>
      </c>
      <c r="N216">
        <v>1009</v>
      </c>
      <c r="O216" t="s">
        <v>155</v>
      </c>
      <c r="P216" t="s">
        <v>155</v>
      </c>
      <c r="Q216">
        <v>1000</v>
      </c>
      <c r="W216">
        <v>0</v>
      </c>
      <c r="X216">
        <v>-941081254</v>
      </c>
      <c r="Y216">
        <v>1.4E-3</v>
      </c>
      <c r="AA216">
        <v>110781.14</v>
      </c>
      <c r="AB216">
        <v>0</v>
      </c>
      <c r="AC216">
        <v>0</v>
      </c>
      <c r="AD216">
        <v>0</v>
      </c>
      <c r="AE216">
        <v>110781.14</v>
      </c>
      <c r="AF216">
        <v>0</v>
      </c>
      <c r="AG216">
        <v>0</v>
      </c>
      <c r="AH216">
        <v>0</v>
      </c>
      <c r="AI216">
        <v>1</v>
      </c>
      <c r="AJ216">
        <v>1</v>
      </c>
      <c r="AK216">
        <v>1</v>
      </c>
      <c r="AL216">
        <v>1</v>
      </c>
      <c r="AN216">
        <v>0</v>
      </c>
      <c r="AO216">
        <v>1</v>
      </c>
      <c r="AP216">
        <v>0</v>
      </c>
      <c r="AQ216">
        <v>0</v>
      </c>
      <c r="AR216">
        <v>0</v>
      </c>
      <c r="AS216" t="s">
        <v>3</v>
      </c>
      <c r="AT216">
        <v>1.4E-3</v>
      </c>
      <c r="AU216" t="s">
        <v>3</v>
      </c>
      <c r="AV216">
        <v>0</v>
      </c>
      <c r="AW216">
        <v>2</v>
      </c>
      <c r="AX216">
        <v>38800764</v>
      </c>
      <c r="AY216">
        <v>1</v>
      </c>
      <c r="AZ216">
        <v>0</v>
      </c>
      <c r="BA216">
        <v>192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CX216">
        <f>Y216*Source!I339</f>
        <v>5.6000000000000006E-4</v>
      </c>
      <c r="CY216">
        <f>AA216</f>
        <v>110781.14</v>
      </c>
      <c r="CZ216">
        <f>AE216</f>
        <v>110781.14</v>
      </c>
      <c r="DA216">
        <f>AI216</f>
        <v>1</v>
      </c>
      <c r="DB216">
        <f t="shared" si="21"/>
        <v>155.09</v>
      </c>
      <c r="DC216">
        <f t="shared" si="22"/>
        <v>0</v>
      </c>
    </row>
    <row r="217" spans="1:107" x14ac:dyDescent="0.2">
      <c r="A217">
        <f>ROW(Source!A339)</f>
        <v>339</v>
      </c>
      <c r="B217">
        <v>38799519</v>
      </c>
      <c r="C217">
        <v>38800755</v>
      </c>
      <c r="D217">
        <v>38469133</v>
      </c>
      <c r="E217">
        <v>1</v>
      </c>
      <c r="F217">
        <v>1</v>
      </c>
      <c r="G217">
        <v>27</v>
      </c>
      <c r="H217">
        <v>3</v>
      </c>
      <c r="I217" t="s">
        <v>526</v>
      </c>
      <c r="J217" t="s">
        <v>527</v>
      </c>
      <c r="K217" t="s">
        <v>528</v>
      </c>
      <c r="L217">
        <v>1348</v>
      </c>
      <c r="N217">
        <v>1009</v>
      </c>
      <c r="O217" t="s">
        <v>155</v>
      </c>
      <c r="P217" t="s">
        <v>155</v>
      </c>
      <c r="Q217">
        <v>1000</v>
      </c>
      <c r="W217">
        <v>0</v>
      </c>
      <c r="X217">
        <v>485376408</v>
      </c>
      <c r="Y217">
        <v>1</v>
      </c>
      <c r="AA217">
        <v>75026.559999999998</v>
      </c>
      <c r="AB217">
        <v>0</v>
      </c>
      <c r="AC217">
        <v>0</v>
      </c>
      <c r="AD217">
        <v>0</v>
      </c>
      <c r="AE217">
        <v>75026.559999999998</v>
      </c>
      <c r="AF217">
        <v>0</v>
      </c>
      <c r="AG217">
        <v>0</v>
      </c>
      <c r="AH217">
        <v>0</v>
      </c>
      <c r="AI217">
        <v>1</v>
      </c>
      <c r="AJ217">
        <v>1</v>
      </c>
      <c r="AK217">
        <v>1</v>
      </c>
      <c r="AL217">
        <v>1</v>
      </c>
      <c r="AN217">
        <v>0</v>
      </c>
      <c r="AO217">
        <v>1</v>
      </c>
      <c r="AP217">
        <v>0</v>
      </c>
      <c r="AQ217">
        <v>0</v>
      </c>
      <c r="AR217">
        <v>0</v>
      </c>
      <c r="AS217" t="s">
        <v>3</v>
      </c>
      <c r="AT217">
        <v>1</v>
      </c>
      <c r="AU217" t="s">
        <v>3</v>
      </c>
      <c r="AV217">
        <v>0</v>
      </c>
      <c r="AW217">
        <v>2</v>
      </c>
      <c r="AX217">
        <v>38800765</v>
      </c>
      <c r="AY217">
        <v>1</v>
      </c>
      <c r="AZ217">
        <v>0</v>
      </c>
      <c r="BA217">
        <v>193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CX217">
        <f>Y217*Source!I339</f>
        <v>0.4</v>
      </c>
      <c r="CY217">
        <f>AA217</f>
        <v>75026.559999999998</v>
      </c>
      <c r="CZ217">
        <f>AE217</f>
        <v>75026.559999999998</v>
      </c>
      <c r="DA217">
        <f>AI217</f>
        <v>1</v>
      </c>
      <c r="DB217">
        <f t="shared" si="21"/>
        <v>75026.559999999998</v>
      </c>
      <c r="DC217">
        <f t="shared" si="22"/>
        <v>0</v>
      </c>
    </row>
    <row r="218" spans="1:107" x14ac:dyDescent="0.2">
      <c r="A218">
        <f>ROW(Source!A339)</f>
        <v>339</v>
      </c>
      <c r="B218">
        <v>38799519</v>
      </c>
      <c r="C218">
        <v>38800755</v>
      </c>
      <c r="D218">
        <v>0</v>
      </c>
      <c r="E218">
        <v>0</v>
      </c>
      <c r="F218">
        <v>1</v>
      </c>
      <c r="G218">
        <v>27</v>
      </c>
      <c r="H218">
        <v>3</v>
      </c>
      <c r="I218" t="s">
        <v>196</v>
      </c>
      <c r="J218" t="s">
        <v>3</v>
      </c>
      <c r="K218" t="s">
        <v>273</v>
      </c>
      <c r="L218">
        <v>1354</v>
      </c>
      <c r="N218">
        <v>1010</v>
      </c>
      <c r="O218" t="s">
        <v>198</v>
      </c>
      <c r="P218" t="s">
        <v>198</v>
      </c>
      <c r="Q218">
        <v>1</v>
      </c>
      <c r="W218">
        <v>0</v>
      </c>
      <c r="X218">
        <v>1996869071</v>
      </c>
      <c r="Y218">
        <v>0.89841599999999999</v>
      </c>
      <c r="AA218">
        <v>35285</v>
      </c>
      <c r="AB218">
        <v>0</v>
      </c>
      <c r="AC218">
        <v>0</v>
      </c>
      <c r="AD218">
        <v>0</v>
      </c>
      <c r="AE218">
        <v>35285</v>
      </c>
      <c r="AF218">
        <v>0</v>
      </c>
      <c r="AG218">
        <v>0</v>
      </c>
      <c r="AH218">
        <v>0</v>
      </c>
      <c r="AI218">
        <v>1</v>
      </c>
      <c r="AJ218">
        <v>1</v>
      </c>
      <c r="AK218">
        <v>1</v>
      </c>
      <c r="AL218">
        <v>1</v>
      </c>
      <c r="AN218">
        <v>0</v>
      </c>
      <c r="AO218">
        <v>0</v>
      </c>
      <c r="AP218">
        <v>0</v>
      </c>
      <c r="AQ218">
        <v>0</v>
      </c>
      <c r="AR218">
        <v>0</v>
      </c>
      <c r="AS218" t="s">
        <v>3</v>
      </c>
      <c r="AT218">
        <v>0.89841599999999999</v>
      </c>
      <c r="AU218" t="s">
        <v>3</v>
      </c>
      <c r="AV218">
        <v>0</v>
      </c>
      <c r="AW218">
        <v>1</v>
      </c>
      <c r="AX218">
        <v>-1</v>
      </c>
      <c r="AY218">
        <v>0</v>
      </c>
      <c r="AZ218">
        <v>0</v>
      </c>
      <c r="BA218" t="s">
        <v>3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CX218">
        <f>Y218*Source!I339</f>
        <v>0.35936640000000003</v>
      </c>
      <c r="CY218">
        <f>AA218</f>
        <v>35285</v>
      </c>
      <c r="CZ218">
        <f>AE218</f>
        <v>35285</v>
      </c>
      <c r="DA218">
        <f>AI218</f>
        <v>1</v>
      </c>
      <c r="DB218">
        <f t="shared" si="21"/>
        <v>31700.61</v>
      </c>
      <c r="DC218">
        <f t="shared" si="22"/>
        <v>0</v>
      </c>
    </row>
    <row r="219" spans="1:107" x14ac:dyDescent="0.2">
      <c r="A219">
        <f>ROW(Source!A410)</f>
        <v>410</v>
      </c>
      <c r="B219">
        <v>38799519</v>
      </c>
      <c r="C219">
        <v>38800978</v>
      </c>
      <c r="D219">
        <v>38451941</v>
      </c>
      <c r="E219">
        <v>27</v>
      </c>
      <c r="F219">
        <v>1</v>
      </c>
      <c r="G219">
        <v>27</v>
      </c>
      <c r="H219">
        <v>1</v>
      </c>
      <c r="I219" t="s">
        <v>387</v>
      </c>
      <c r="J219" t="s">
        <v>3</v>
      </c>
      <c r="K219" t="s">
        <v>388</v>
      </c>
      <c r="L219">
        <v>1191</v>
      </c>
      <c r="N219">
        <v>1013</v>
      </c>
      <c r="O219" t="s">
        <v>389</v>
      </c>
      <c r="P219" t="s">
        <v>389</v>
      </c>
      <c r="Q219">
        <v>1</v>
      </c>
      <c r="W219">
        <v>0</v>
      </c>
      <c r="X219">
        <v>476480486</v>
      </c>
      <c r="Y219">
        <v>221.6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1</v>
      </c>
      <c r="AJ219">
        <v>1</v>
      </c>
      <c r="AK219">
        <v>1</v>
      </c>
      <c r="AL219">
        <v>1</v>
      </c>
      <c r="AN219">
        <v>0</v>
      </c>
      <c r="AO219">
        <v>1</v>
      </c>
      <c r="AP219">
        <v>0</v>
      </c>
      <c r="AQ219">
        <v>0</v>
      </c>
      <c r="AR219">
        <v>0</v>
      </c>
      <c r="AS219" t="s">
        <v>3</v>
      </c>
      <c r="AT219">
        <v>221.6</v>
      </c>
      <c r="AU219" t="s">
        <v>3</v>
      </c>
      <c r="AV219">
        <v>1</v>
      </c>
      <c r="AW219">
        <v>2</v>
      </c>
      <c r="AX219">
        <v>38800980</v>
      </c>
      <c r="AY219">
        <v>1</v>
      </c>
      <c r="AZ219">
        <v>0</v>
      </c>
      <c r="BA219">
        <v>194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CX219">
        <f>Y219*Source!I410</f>
        <v>23.999279999999999</v>
      </c>
      <c r="CY219">
        <f>AD219</f>
        <v>0</v>
      </c>
      <c r="CZ219">
        <f>AH219</f>
        <v>0</v>
      </c>
      <c r="DA219">
        <f>AL219</f>
        <v>1</v>
      </c>
      <c r="DB219">
        <f t="shared" si="21"/>
        <v>0</v>
      </c>
      <c r="DC219">
        <f t="shared" si="22"/>
        <v>0</v>
      </c>
    </row>
    <row r="220" spans="1:107" x14ac:dyDescent="0.2">
      <c r="A220">
        <f>ROW(Source!A411)</f>
        <v>411</v>
      </c>
      <c r="B220">
        <v>38799519</v>
      </c>
      <c r="C220">
        <v>38800981</v>
      </c>
      <c r="D220">
        <v>38451941</v>
      </c>
      <c r="E220">
        <v>27</v>
      </c>
      <c r="F220">
        <v>1</v>
      </c>
      <c r="G220">
        <v>27</v>
      </c>
      <c r="H220">
        <v>1</v>
      </c>
      <c r="I220" t="s">
        <v>387</v>
      </c>
      <c r="J220" t="s">
        <v>3</v>
      </c>
      <c r="K220" t="s">
        <v>388</v>
      </c>
      <c r="L220">
        <v>1191</v>
      </c>
      <c r="N220">
        <v>1013</v>
      </c>
      <c r="O220" t="s">
        <v>389</v>
      </c>
      <c r="P220" t="s">
        <v>389</v>
      </c>
      <c r="Q220">
        <v>1</v>
      </c>
      <c r="W220">
        <v>0</v>
      </c>
      <c r="X220">
        <v>476480486</v>
      </c>
      <c r="Y220">
        <v>12.42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1</v>
      </c>
      <c r="AJ220">
        <v>1</v>
      </c>
      <c r="AK220">
        <v>1</v>
      </c>
      <c r="AL220">
        <v>1</v>
      </c>
      <c r="AN220">
        <v>0</v>
      </c>
      <c r="AO220">
        <v>1</v>
      </c>
      <c r="AP220">
        <v>0</v>
      </c>
      <c r="AQ220">
        <v>0</v>
      </c>
      <c r="AR220">
        <v>0</v>
      </c>
      <c r="AS220" t="s">
        <v>3</v>
      </c>
      <c r="AT220">
        <v>12.42</v>
      </c>
      <c r="AU220" t="s">
        <v>3</v>
      </c>
      <c r="AV220">
        <v>1</v>
      </c>
      <c r="AW220">
        <v>2</v>
      </c>
      <c r="AX220">
        <v>38800985</v>
      </c>
      <c r="AY220">
        <v>1</v>
      </c>
      <c r="AZ220">
        <v>0</v>
      </c>
      <c r="BA220">
        <v>195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CX220">
        <f>Y220*Source!I411</f>
        <v>1.345086</v>
      </c>
      <c r="CY220">
        <f>AD220</f>
        <v>0</v>
      </c>
      <c r="CZ220">
        <f>AH220</f>
        <v>0</v>
      </c>
      <c r="DA220">
        <f>AL220</f>
        <v>1</v>
      </c>
      <c r="DB220">
        <f t="shared" si="21"/>
        <v>0</v>
      </c>
      <c r="DC220">
        <f t="shared" si="22"/>
        <v>0</v>
      </c>
    </row>
    <row r="221" spans="1:107" x14ac:dyDescent="0.2">
      <c r="A221">
        <f>ROW(Source!A411)</f>
        <v>411</v>
      </c>
      <c r="B221">
        <v>38799519</v>
      </c>
      <c r="C221">
        <v>38800981</v>
      </c>
      <c r="D221">
        <v>38464567</v>
      </c>
      <c r="E221">
        <v>1</v>
      </c>
      <c r="F221">
        <v>1</v>
      </c>
      <c r="G221">
        <v>27</v>
      </c>
      <c r="H221">
        <v>2</v>
      </c>
      <c r="I221" t="s">
        <v>412</v>
      </c>
      <c r="J221" t="s">
        <v>413</v>
      </c>
      <c r="K221" t="s">
        <v>414</v>
      </c>
      <c r="L221">
        <v>1368</v>
      </c>
      <c r="N221">
        <v>1011</v>
      </c>
      <c r="O221" t="s">
        <v>393</v>
      </c>
      <c r="P221" t="s">
        <v>393</v>
      </c>
      <c r="Q221">
        <v>1</v>
      </c>
      <c r="W221">
        <v>0</v>
      </c>
      <c r="X221">
        <v>734322642</v>
      </c>
      <c r="Y221">
        <v>13.12</v>
      </c>
      <c r="AA221">
        <v>0</v>
      </c>
      <c r="AB221">
        <v>744.2</v>
      </c>
      <c r="AC221">
        <v>423.17</v>
      </c>
      <c r="AD221">
        <v>0</v>
      </c>
      <c r="AE221">
        <v>0</v>
      </c>
      <c r="AF221">
        <v>744.2</v>
      </c>
      <c r="AG221">
        <v>423.17</v>
      </c>
      <c r="AH221">
        <v>0</v>
      </c>
      <c r="AI221">
        <v>1</v>
      </c>
      <c r="AJ221">
        <v>1</v>
      </c>
      <c r="AK221">
        <v>1</v>
      </c>
      <c r="AL221">
        <v>1</v>
      </c>
      <c r="AN221">
        <v>0</v>
      </c>
      <c r="AO221">
        <v>1</v>
      </c>
      <c r="AP221">
        <v>0</v>
      </c>
      <c r="AQ221">
        <v>0</v>
      </c>
      <c r="AR221">
        <v>0</v>
      </c>
      <c r="AS221" t="s">
        <v>3</v>
      </c>
      <c r="AT221">
        <v>13.12</v>
      </c>
      <c r="AU221" t="s">
        <v>3</v>
      </c>
      <c r="AV221">
        <v>0</v>
      </c>
      <c r="AW221">
        <v>2</v>
      </c>
      <c r="AX221">
        <v>38800986</v>
      </c>
      <c r="AY221">
        <v>1</v>
      </c>
      <c r="AZ221">
        <v>0</v>
      </c>
      <c r="BA221">
        <v>196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CX221">
        <f>Y221*Source!I411</f>
        <v>1.4208959999999999</v>
      </c>
      <c r="CY221">
        <f>AB221</f>
        <v>744.2</v>
      </c>
      <c r="CZ221">
        <f>AF221</f>
        <v>744.2</v>
      </c>
      <c r="DA221">
        <f>AJ221</f>
        <v>1</v>
      </c>
      <c r="DB221">
        <f t="shared" si="21"/>
        <v>9763.9</v>
      </c>
      <c r="DC221">
        <f t="shared" si="22"/>
        <v>5551.99</v>
      </c>
    </row>
    <row r="222" spans="1:107" x14ac:dyDescent="0.2">
      <c r="A222">
        <f>ROW(Source!A411)</f>
        <v>411</v>
      </c>
      <c r="B222">
        <v>38799519</v>
      </c>
      <c r="C222">
        <v>38800981</v>
      </c>
      <c r="D222">
        <v>38465034</v>
      </c>
      <c r="E222">
        <v>1</v>
      </c>
      <c r="F222">
        <v>1</v>
      </c>
      <c r="G222">
        <v>27</v>
      </c>
      <c r="H222">
        <v>2</v>
      </c>
      <c r="I222" t="s">
        <v>420</v>
      </c>
      <c r="J222" t="s">
        <v>421</v>
      </c>
      <c r="K222" t="s">
        <v>422</v>
      </c>
      <c r="L222">
        <v>1368</v>
      </c>
      <c r="N222">
        <v>1011</v>
      </c>
      <c r="O222" t="s">
        <v>393</v>
      </c>
      <c r="P222" t="s">
        <v>393</v>
      </c>
      <c r="Q222">
        <v>1</v>
      </c>
      <c r="W222">
        <v>0</v>
      </c>
      <c r="X222">
        <v>-1383996176</v>
      </c>
      <c r="Y222">
        <v>13.12</v>
      </c>
      <c r="AA222">
        <v>0</v>
      </c>
      <c r="AB222">
        <v>3.75</v>
      </c>
      <c r="AC222">
        <v>2.56</v>
      </c>
      <c r="AD222">
        <v>0</v>
      </c>
      <c r="AE222">
        <v>0</v>
      </c>
      <c r="AF222">
        <v>3.75</v>
      </c>
      <c r="AG222">
        <v>2.56</v>
      </c>
      <c r="AH222">
        <v>0</v>
      </c>
      <c r="AI222">
        <v>1</v>
      </c>
      <c r="AJ222">
        <v>1</v>
      </c>
      <c r="AK222">
        <v>1</v>
      </c>
      <c r="AL222">
        <v>1</v>
      </c>
      <c r="AN222">
        <v>0</v>
      </c>
      <c r="AO222">
        <v>1</v>
      </c>
      <c r="AP222">
        <v>0</v>
      </c>
      <c r="AQ222">
        <v>0</v>
      </c>
      <c r="AR222">
        <v>0</v>
      </c>
      <c r="AS222" t="s">
        <v>3</v>
      </c>
      <c r="AT222">
        <v>13.12</v>
      </c>
      <c r="AU222" t="s">
        <v>3</v>
      </c>
      <c r="AV222">
        <v>0</v>
      </c>
      <c r="AW222">
        <v>2</v>
      </c>
      <c r="AX222">
        <v>38800987</v>
      </c>
      <c r="AY222">
        <v>1</v>
      </c>
      <c r="AZ222">
        <v>0</v>
      </c>
      <c r="BA222">
        <v>197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CX222">
        <f>Y222*Source!I411</f>
        <v>1.4208959999999999</v>
      </c>
      <c r="CY222">
        <f>AB222</f>
        <v>3.75</v>
      </c>
      <c r="CZ222">
        <f>AF222</f>
        <v>3.75</v>
      </c>
      <c r="DA222">
        <f>AJ222</f>
        <v>1</v>
      </c>
      <c r="DB222">
        <f t="shared" si="21"/>
        <v>49.2</v>
      </c>
      <c r="DC222">
        <f t="shared" si="22"/>
        <v>33.590000000000003</v>
      </c>
    </row>
    <row r="223" spans="1:107" x14ac:dyDescent="0.2">
      <c r="A223">
        <f>ROW(Source!A412)</f>
        <v>412</v>
      </c>
      <c r="B223">
        <v>38799519</v>
      </c>
      <c r="C223">
        <v>38800988</v>
      </c>
      <c r="D223">
        <v>38451941</v>
      </c>
      <c r="E223">
        <v>27</v>
      </c>
      <c r="F223">
        <v>1</v>
      </c>
      <c r="G223">
        <v>27</v>
      </c>
      <c r="H223">
        <v>1</v>
      </c>
      <c r="I223" t="s">
        <v>387</v>
      </c>
      <c r="J223" t="s">
        <v>3</v>
      </c>
      <c r="K223" t="s">
        <v>388</v>
      </c>
      <c r="L223">
        <v>1191</v>
      </c>
      <c r="N223">
        <v>1013</v>
      </c>
      <c r="O223" t="s">
        <v>389</v>
      </c>
      <c r="P223" t="s">
        <v>389</v>
      </c>
      <c r="Q223">
        <v>1</v>
      </c>
      <c r="W223">
        <v>0</v>
      </c>
      <c r="X223">
        <v>476480486</v>
      </c>
      <c r="Y223">
        <v>3.44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1</v>
      </c>
      <c r="AJ223">
        <v>1</v>
      </c>
      <c r="AK223">
        <v>1</v>
      </c>
      <c r="AL223">
        <v>1</v>
      </c>
      <c r="AN223">
        <v>0</v>
      </c>
      <c r="AO223">
        <v>1</v>
      </c>
      <c r="AP223">
        <v>0</v>
      </c>
      <c r="AQ223">
        <v>0</v>
      </c>
      <c r="AR223">
        <v>0</v>
      </c>
      <c r="AS223" t="s">
        <v>3</v>
      </c>
      <c r="AT223">
        <v>3.44</v>
      </c>
      <c r="AU223" t="s">
        <v>3</v>
      </c>
      <c r="AV223">
        <v>1</v>
      </c>
      <c r="AW223">
        <v>2</v>
      </c>
      <c r="AX223">
        <v>38800993</v>
      </c>
      <c r="AY223">
        <v>1</v>
      </c>
      <c r="AZ223">
        <v>0</v>
      </c>
      <c r="BA223">
        <v>198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CX223">
        <f>Y223*Source!I412</f>
        <v>29.8248</v>
      </c>
      <c r="CY223">
        <f>AD223</f>
        <v>0</v>
      </c>
      <c r="CZ223">
        <f>AH223</f>
        <v>0</v>
      </c>
      <c r="DA223">
        <f>AL223</f>
        <v>1</v>
      </c>
      <c r="DB223">
        <f t="shared" si="21"/>
        <v>0</v>
      </c>
      <c r="DC223">
        <f t="shared" si="22"/>
        <v>0</v>
      </c>
    </row>
    <row r="224" spans="1:107" x14ac:dyDescent="0.2">
      <c r="A224">
        <f>ROW(Source!A412)</f>
        <v>412</v>
      </c>
      <c r="B224">
        <v>38799519</v>
      </c>
      <c r="C224">
        <v>38800988</v>
      </c>
      <c r="D224">
        <v>38464567</v>
      </c>
      <c r="E224">
        <v>1</v>
      </c>
      <c r="F224">
        <v>1</v>
      </c>
      <c r="G224">
        <v>27</v>
      </c>
      <c r="H224">
        <v>2</v>
      </c>
      <c r="I224" t="s">
        <v>412</v>
      </c>
      <c r="J224" t="s">
        <v>413</v>
      </c>
      <c r="K224" t="s">
        <v>414</v>
      </c>
      <c r="L224">
        <v>1368</v>
      </c>
      <c r="N224">
        <v>1011</v>
      </c>
      <c r="O224" t="s">
        <v>393</v>
      </c>
      <c r="P224" t="s">
        <v>393</v>
      </c>
      <c r="Q224">
        <v>1</v>
      </c>
      <c r="W224">
        <v>0</v>
      </c>
      <c r="X224">
        <v>734322642</v>
      </c>
      <c r="Y224">
        <v>0.38</v>
      </c>
      <c r="AA224">
        <v>0</v>
      </c>
      <c r="AB224">
        <v>744.2</v>
      </c>
      <c r="AC224">
        <v>423.17</v>
      </c>
      <c r="AD224">
        <v>0</v>
      </c>
      <c r="AE224">
        <v>0</v>
      </c>
      <c r="AF224">
        <v>744.2</v>
      </c>
      <c r="AG224">
        <v>423.17</v>
      </c>
      <c r="AH224">
        <v>0</v>
      </c>
      <c r="AI224">
        <v>1</v>
      </c>
      <c r="AJ224">
        <v>1</v>
      </c>
      <c r="AK224">
        <v>1</v>
      </c>
      <c r="AL224">
        <v>1</v>
      </c>
      <c r="AN224">
        <v>0</v>
      </c>
      <c r="AO224">
        <v>1</v>
      </c>
      <c r="AP224">
        <v>0</v>
      </c>
      <c r="AQ224">
        <v>0</v>
      </c>
      <c r="AR224">
        <v>0</v>
      </c>
      <c r="AS224" t="s">
        <v>3</v>
      </c>
      <c r="AT224">
        <v>0.38</v>
      </c>
      <c r="AU224" t="s">
        <v>3</v>
      </c>
      <c r="AV224">
        <v>0</v>
      </c>
      <c r="AW224">
        <v>2</v>
      </c>
      <c r="AX224">
        <v>38800994</v>
      </c>
      <c r="AY224">
        <v>1</v>
      </c>
      <c r="AZ224">
        <v>0</v>
      </c>
      <c r="BA224">
        <v>199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CX224">
        <f>Y224*Source!I412</f>
        <v>3.2946</v>
      </c>
      <c r="CY224">
        <f>AB224</f>
        <v>744.2</v>
      </c>
      <c r="CZ224">
        <f>AF224</f>
        <v>744.2</v>
      </c>
      <c r="DA224">
        <f>AJ224</f>
        <v>1</v>
      </c>
      <c r="DB224">
        <f t="shared" si="21"/>
        <v>282.8</v>
      </c>
      <c r="DC224">
        <f t="shared" si="22"/>
        <v>160.80000000000001</v>
      </c>
    </row>
    <row r="225" spans="1:107" x14ac:dyDescent="0.2">
      <c r="A225">
        <f>ROW(Source!A412)</f>
        <v>412</v>
      </c>
      <c r="B225">
        <v>38799519</v>
      </c>
      <c r="C225">
        <v>38800988</v>
      </c>
      <c r="D225">
        <v>38465034</v>
      </c>
      <c r="E225">
        <v>1</v>
      </c>
      <c r="F225">
        <v>1</v>
      </c>
      <c r="G225">
        <v>27</v>
      </c>
      <c r="H225">
        <v>2</v>
      </c>
      <c r="I225" t="s">
        <v>420</v>
      </c>
      <c r="J225" t="s">
        <v>421</v>
      </c>
      <c r="K225" t="s">
        <v>422</v>
      </c>
      <c r="L225">
        <v>1368</v>
      </c>
      <c r="N225">
        <v>1011</v>
      </c>
      <c r="O225" t="s">
        <v>393</v>
      </c>
      <c r="P225" t="s">
        <v>393</v>
      </c>
      <c r="Q225">
        <v>1</v>
      </c>
      <c r="W225">
        <v>0</v>
      </c>
      <c r="X225">
        <v>-1383996176</v>
      </c>
      <c r="Y225">
        <v>0.38</v>
      </c>
      <c r="AA225">
        <v>0</v>
      </c>
      <c r="AB225">
        <v>3.75</v>
      </c>
      <c r="AC225">
        <v>2.56</v>
      </c>
      <c r="AD225">
        <v>0</v>
      </c>
      <c r="AE225">
        <v>0</v>
      </c>
      <c r="AF225">
        <v>3.75</v>
      </c>
      <c r="AG225">
        <v>2.56</v>
      </c>
      <c r="AH225">
        <v>0</v>
      </c>
      <c r="AI225">
        <v>1</v>
      </c>
      <c r="AJ225">
        <v>1</v>
      </c>
      <c r="AK225">
        <v>1</v>
      </c>
      <c r="AL225">
        <v>1</v>
      </c>
      <c r="AN225">
        <v>0</v>
      </c>
      <c r="AO225">
        <v>1</v>
      </c>
      <c r="AP225">
        <v>0</v>
      </c>
      <c r="AQ225">
        <v>0</v>
      </c>
      <c r="AR225">
        <v>0</v>
      </c>
      <c r="AS225" t="s">
        <v>3</v>
      </c>
      <c r="AT225">
        <v>0.38</v>
      </c>
      <c r="AU225" t="s">
        <v>3</v>
      </c>
      <c r="AV225">
        <v>0</v>
      </c>
      <c r="AW225">
        <v>2</v>
      </c>
      <c r="AX225">
        <v>38800995</v>
      </c>
      <c r="AY225">
        <v>1</v>
      </c>
      <c r="AZ225">
        <v>0</v>
      </c>
      <c r="BA225">
        <v>200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CX225">
        <f>Y225*Source!I412</f>
        <v>3.2946</v>
      </c>
      <c r="CY225">
        <f>AB225</f>
        <v>3.75</v>
      </c>
      <c r="CZ225">
        <f>AF225</f>
        <v>3.75</v>
      </c>
      <c r="DA225">
        <f>AJ225</f>
        <v>1</v>
      </c>
      <c r="DB225">
        <f t="shared" si="21"/>
        <v>1.43</v>
      </c>
      <c r="DC225">
        <f t="shared" si="22"/>
        <v>0.97</v>
      </c>
    </row>
    <row r="226" spans="1:107" x14ac:dyDescent="0.2">
      <c r="A226">
        <f>ROW(Source!A412)</f>
        <v>412</v>
      </c>
      <c r="B226">
        <v>38799519</v>
      </c>
      <c r="C226">
        <v>38800988</v>
      </c>
      <c r="D226">
        <v>38466366</v>
      </c>
      <c r="E226">
        <v>1</v>
      </c>
      <c r="F226">
        <v>1</v>
      </c>
      <c r="G226">
        <v>27</v>
      </c>
      <c r="H226">
        <v>3</v>
      </c>
      <c r="I226" t="s">
        <v>423</v>
      </c>
      <c r="J226" t="s">
        <v>424</v>
      </c>
      <c r="K226" t="s">
        <v>425</v>
      </c>
      <c r="L226">
        <v>1339</v>
      </c>
      <c r="N226">
        <v>1007</v>
      </c>
      <c r="O226" t="s">
        <v>35</v>
      </c>
      <c r="P226" t="s">
        <v>35</v>
      </c>
      <c r="Q226">
        <v>1</v>
      </c>
      <c r="W226">
        <v>0</v>
      </c>
      <c r="X226">
        <v>-1662970571</v>
      </c>
      <c r="Y226">
        <v>1.1200000000000001</v>
      </c>
      <c r="AA226">
        <v>590.78</v>
      </c>
      <c r="AB226">
        <v>0</v>
      </c>
      <c r="AC226">
        <v>0</v>
      </c>
      <c r="AD226">
        <v>0</v>
      </c>
      <c r="AE226">
        <v>590.78</v>
      </c>
      <c r="AF226">
        <v>0</v>
      </c>
      <c r="AG226">
        <v>0</v>
      </c>
      <c r="AH226">
        <v>0</v>
      </c>
      <c r="AI226">
        <v>1</v>
      </c>
      <c r="AJ226">
        <v>1</v>
      </c>
      <c r="AK226">
        <v>1</v>
      </c>
      <c r="AL226">
        <v>1</v>
      </c>
      <c r="AN226">
        <v>0</v>
      </c>
      <c r="AO226">
        <v>1</v>
      </c>
      <c r="AP226">
        <v>0</v>
      </c>
      <c r="AQ226">
        <v>0</v>
      </c>
      <c r="AR226">
        <v>0</v>
      </c>
      <c r="AS226" t="s">
        <v>3</v>
      </c>
      <c r="AT226">
        <v>1.1200000000000001</v>
      </c>
      <c r="AU226" t="s">
        <v>3</v>
      </c>
      <c r="AV226">
        <v>0</v>
      </c>
      <c r="AW226">
        <v>2</v>
      </c>
      <c r="AX226">
        <v>38800996</v>
      </c>
      <c r="AY226">
        <v>1</v>
      </c>
      <c r="AZ226">
        <v>0</v>
      </c>
      <c r="BA226">
        <v>201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CX226">
        <f>Y226*Source!I412</f>
        <v>9.7104000000000017</v>
      </c>
      <c r="CY226">
        <f>AA226</f>
        <v>590.78</v>
      </c>
      <c r="CZ226">
        <f>AE226</f>
        <v>590.78</v>
      </c>
      <c r="DA226">
        <f>AI226</f>
        <v>1</v>
      </c>
      <c r="DB226">
        <f t="shared" ref="DB226:DB247" si="23">ROUND(ROUND(AT226*CZ226,2),6)</f>
        <v>661.67</v>
      </c>
      <c r="DC226">
        <f t="shared" ref="DC226:DC247" si="24">ROUND(ROUND(AT226*AG226,2),6)</f>
        <v>0</v>
      </c>
    </row>
    <row r="227" spans="1:107" x14ac:dyDescent="0.2">
      <c r="A227">
        <f>ROW(Source!A413)</f>
        <v>413</v>
      </c>
      <c r="B227">
        <v>38799519</v>
      </c>
      <c r="C227">
        <v>38800997</v>
      </c>
      <c r="D227">
        <v>38451941</v>
      </c>
      <c r="E227">
        <v>27</v>
      </c>
      <c r="F227">
        <v>1</v>
      </c>
      <c r="G227">
        <v>27</v>
      </c>
      <c r="H227">
        <v>1</v>
      </c>
      <c r="I227" t="s">
        <v>387</v>
      </c>
      <c r="J227" t="s">
        <v>3</v>
      </c>
      <c r="K227" t="s">
        <v>388</v>
      </c>
      <c r="L227">
        <v>1191</v>
      </c>
      <c r="N227">
        <v>1013</v>
      </c>
      <c r="O227" t="s">
        <v>389</v>
      </c>
      <c r="P227" t="s">
        <v>389</v>
      </c>
      <c r="Q227">
        <v>1</v>
      </c>
      <c r="W227">
        <v>0</v>
      </c>
      <c r="X227">
        <v>476480486</v>
      </c>
      <c r="Y227">
        <v>1.1499999999999999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1</v>
      </c>
      <c r="AJ227">
        <v>1</v>
      </c>
      <c r="AK227">
        <v>1</v>
      </c>
      <c r="AL227">
        <v>1</v>
      </c>
      <c r="AN227">
        <v>0</v>
      </c>
      <c r="AO227">
        <v>1</v>
      </c>
      <c r="AP227">
        <v>0</v>
      </c>
      <c r="AQ227">
        <v>0</v>
      </c>
      <c r="AR227">
        <v>0</v>
      </c>
      <c r="AS227" t="s">
        <v>3</v>
      </c>
      <c r="AT227">
        <v>1.1499999999999999</v>
      </c>
      <c r="AU227" t="s">
        <v>3</v>
      </c>
      <c r="AV227">
        <v>1</v>
      </c>
      <c r="AW227">
        <v>2</v>
      </c>
      <c r="AX227">
        <v>38801002</v>
      </c>
      <c r="AY227">
        <v>1</v>
      </c>
      <c r="AZ227">
        <v>0</v>
      </c>
      <c r="BA227">
        <v>202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CX227">
        <f>Y227*Source!I413</f>
        <v>66.469999999999985</v>
      </c>
      <c r="CY227">
        <f>AD227</f>
        <v>0</v>
      </c>
      <c r="CZ227">
        <f>AH227</f>
        <v>0</v>
      </c>
      <c r="DA227">
        <f>AL227</f>
        <v>1</v>
      </c>
      <c r="DB227">
        <f t="shared" si="23"/>
        <v>0</v>
      </c>
      <c r="DC227">
        <f t="shared" si="24"/>
        <v>0</v>
      </c>
    </row>
    <row r="228" spans="1:107" x14ac:dyDescent="0.2">
      <c r="A228">
        <f>ROW(Source!A413)</f>
        <v>413</v>
      </c>
      <c r="B228">
        <v>38799519</v>
      </c>
      <c r="C228">
        <v>38800997</v>
      </c>
      <c r="D228">
        <v>38465314</v>
      </c>
      <c r="E228">
        <v>1</v>
      </c>
      <c r="F228">
        <v>1</v>
      </c>
      <c r="G228">
        <v>27</v>
      </c>
      <c r="H228">
        <v>3</v>
      </c>
      <c r="I228" t="s">
        <v>426</v>
      </c>
      <c r="J228" t="s">
        <v>427</v>
      </c>
      <c r="K228" t="s">
        <v>428</v>
      </c>
      <c r="L228">
        <v>1348</v>
      </c>
      <c r="N228">
        <v>1009</v>
      </c>
      <c r="O228" t="s">
        <v>155</v>
      </c>
      <c r="P228" t="s">
        <v>155</v>
      </c>
      <c r="Q228">
        <v>1000</v>
      </c>
      <c r="W228">
        <v>0</v>
      </c>
      <c r="X228">
        <v>213373920</v>
      </c>
      <c r="Y228">
        <v>4.4000000000000003E-3</v>
      </c>
      <c r="AA228">
        <v>4207.5</v>
      </c>
      <c r="AB228">
        <v>0</v>
      </c>
      <c r="AC228">
        <v>0</v>
      </c>
      <c r="AD228">
        <v>0</v>
      </c>
      <c r="AE228">
        <v>4207.5</v>
      </c>
      <c r="AF228">
        <v>0</v>
      </c>
      <c r="AG228">
        <v>0</v>
      </c>
      <c r="AH228">
        <v>0</v>
      </c>
      <c r="AI228">
        <v>1</v>
      </c>
      <c r="AJ228">
        <v>1</v>
      </c>
      <c r="AK228">
        <v>1</v>
      </c>
      <c r="AL228">
        <v>1</v>
      </c>
      <c r="AN228">
        <v>0</v>
      </c>
      <c r="AO228">
        <v>1</v>
      </c>
      <c r="AP228">
        <v>0</v>
      </c>
      <c r="AQ228">
        <v>0</v>
      </c>
      <c r="AR228">
        <v>0</v>
      </c>
      <c r="AS228" t="s">
        <v>3</v>
      </c>
      <c r="AT228">
        <v>4.4000000000000003E-3</v>
      </c>
      <c r="AU228" t="s">
        <v>3</v>
      </c>
      <c r="AV228">
        <v>0</v>
      </c>
      <c r="AW228">
        <v>2</v>
      </c>
      <c r="AX228">
        <v>38801003</v>
      </c>
      <c r="AY228">
        <v>1</v>
      </c>
      <c r="AZ228">
        <v>0</v>
      </c>
      <c r="BA228">
        <v>203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CX228">
        <f>Y228*Source!I413</f>
        <v>0.25431999999999999</v>
      </c>
      <c r="CY228">
        <f>AA228</f>
        <v>4207.5</v>
      </c>
      <c r="CZ228">
        <f>AE228</f>
        <v>4207.5</v>
      </c>
      <c r="DA228">
        <f>AI228</f>
        <v>1</v>
      </c>
      <c r="DB228">
        <f t="shared" si="23"/>
        <v>18.510000000000002</v>
      </c>
      <c r="DC228">
        <f t="shared" si="24"/>
        <v>0</v>
      </c>
    </row>
    <row r="229" spans="1:107" x14ac:dyDescent="0.2">
      <c r="A229">
        <f>ROW(Source!A413)</f>
        <v>413</v>
      </c>
      <c r="B229">
        <v>38799519</v>
      </c>
      <c r="C229">
        <v>38800997</v>
      </c>
      <c r="D229">
        <v>38468080</v>
      </c>
      <c r="E229">
        <v>1</v>
      </c>
      <c r="F229">
        <v>1</v>
      </c>
      <c r="G229">
        <v>27</v>
      </c>
      <c r="H229">
        <v>3</v>
      </c>
      <c r="I229" t="s">
        <v>429</v>
      </c>
      <c r="J229" t="s">
        <v>430</v>
      </c>
      <c r="K229" t="s">
        <v>431</v>
      </c>
      <c r="L229">
        <v>1339</v>
      </c>
      <c r="N229">
        <v>1007</v>
      </c>
      <c r="O229" t="s">
        <v>35</v>
      </c>
      <c r="P229" t="s">
        <v>35</v>
      </c>
      <c r="Q229">
        <v>1</v>
      </c>
      <c r="W229">
        <v>0</v>
      </c>
      <c r="X229">
        <v>-697630842</v>
      </c>
      <c r="Y229">
        <v>7.5999999999999998E-2</v>
      </c>
      <c r="AA229">
        <v>3714.73</v>
      </c>
      <c r="AB229">
        <v>0</v>
      </c>
      <c r="AC229">
        <v>0</v>
      </c>
      <c r="AD229">
        <v>0</v>
      </c>
      <c r="AE229">
        <v>3714.73</v>
      </c>
      <c r="AF229">
        <v>0</v>
      </c>
      <c r="AG229">
        <v>0</v>
      </c>
      <c r="AH229">
        <v>0</v>
      </c>
      <c r="AI229">
        <v>1</v>
      </c>
      <c r="AJ229">
        <v>1</v>
      </c>
      <c r="AK229">
        <v>1</v>
      </c>
      <c r="AL229">
        <v>1</v>
      </c>
      <c r="AN229">
        <v>0</v>
      </c>
      <c r="AO229">
        <v>1</v>
      </c>
      <c r="AP229">
        <v>0</v>
      </c>
      <c r="AQ229">
        <v>0</v>
      </c>
      <c r="AR229">
        <v>0</v>
      </c>
      <c r="AS229" t="s">
        <v>3</v>
      </c>
      <c r="AT229">
        <v>7.5999999999999998E-2</v>
      </c>
      <c r="AU229" t="s">
        <v>3</v>
      </c>
      <c r="AV229">
        <v>0</v>
      </c>
      <c r="AW229">
        <v>2</v>
      </c>
      <c r="AX229">
        <v>38801004</v>
      </c>
      <c r="AY229">
        <v>1</v>
      </c>
      <c r="AZ229">
        <v>0</v>
      </c>
      <c r="BA229">
        <v>204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CX229">
        <f>Y229*Source!I413</f>
        <v>4.3927999999999994</v>
      </c>
      <c r="CY229">
        <f>AA229</f>
        <v>3714.73</v>
      </c>
      <c r="CZ229">
        <f>AE229</f>
        <v>3714.73</v>
      </c>
      <c r="DA229">
        <f>AI229</f>
        <v>1</v>
      </c>
      <c r="DB229">
        <f t="shared" si="23"/>
        <v>282.32</v>
      </c>
      <c r="DC229">
        <f t="shared" si="24"/>
        <v>0</v>
      </c>
    </row>
    <row r="230" spans="1:107" x14ac:dyDescent="0.2">
      <c r="A230">
        <f>ROW(Source!A413)</f>
        <v>413</v>
      </c>
      <c r="B230">
        <v>38799519</v>
      </c>
      <c r="C230">
        <v>38800997</v>
      </c>
      <c r="D230">
        <v>38468893</v>
      </c>
      <c r="E230">
        <v>1</v>
      </c>
      <c r="F230">
        <v>1</v>
      </c>
      <c r="G230">
        <v>27</v>
      </c>
      <c r="H230">
        <v>3</v>
      </c>
      <c r="I230" t="s">
        <v>124</v>
      </c>
      <c r="J230" t="s">
        <v>126</v>
      </c>
      <c r="K230" t="s">
        <v>125</v>
      </c>
      <c r="L230">
        <v>1339</v>
      </c>
      <c r="N230">
        <v>1007</v>
      </c>
      <c r="O230" t="s">
        <v>35</v>
      </c>
      <c r="P230" t="s">
        <v>35</v>
      </c>
      <c r="Q230">
        <v>1</v>
      </c>
      <c r="W230">
        <v>0</v>
      </c>
      <c r="X230">
        <v>858864401</v>
      </c>
      <c r="Y230">
        <v>0.01</v>
      </c>
      <c r="AA230">
        <v>9014.9</v>
      </c>
      <c r="AB230">
        <v>0</v>
      </c>
      <c r="AC230">
        <v>0</v>
      </c>
      <c r="AD230">
        <v>0</v>
      </c>
      <c r="AE230">
        <v>9014.9</v>
      </c>
      <c r="AF230">
        <v>0</v>
      </c>
      <c r="AG230">
        <v>0</v>
      </c>
      <c r="AH230">
        <v>0</v>
      </c>
      <c r="AI230">
        <v>1</v>
      </c>
      <c r="AJ230">
        <v>1</v>
      </c>
      <c r="AK230">
        <v>1</v>
      </c>
      <c r="AL230">
        <v>1</v>
      </c>
      <c r="AN230">
        <v>0</v>
      </c>
      <c r="AO230">
        <v>0</v>
      </c>
      <c r="AP230">
        <v>0</v>
      </c>
      <c r="AQ230">
        <v>0</v>
      </c>
      <c r="AR230">
        <v>0</v>
      </c>
      <c r="AS230" t="s">
        <v>3</v>
      </c>
      <c r="AT230">
        <v>0.01</v>
      </c>
      <c r="AU230" t="s">
        <v>3</v>
      </c>
      <c r="AV230">
        <v>0</v>
      </c>
      <c r="AW230">
        <v>1</v>
      </c>
      <c r="AX230">
        <v>-1</v>
      </c>
      <c r="AY230">
        <v>0</v>
      </c>
      <c r="AZ230">
        <v>0</v>
      </c>
      <c r="BA230" t="s">
        <v>3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CX230">
        <f>Y230*Source!I413</f>
        <v>0.57799999999999996</v>
      </c>
      <c r="CY230">
        <f>AA230</f>
        <v>9014.9</v>
      </c>
      <c r="CZ230">
        <f>AE230</f>
        <v>9014.9</v>
      </c>
      <c r="DA230">
        <f>AI230</f>
        <v>1</v>
      </c>
      <c r="DB230">
        <f t="shared" si="23"/>
        <v>90.15</v>
      </c>
      <c r="DC230">
        <f t="shared" si="24"/>
        <v>0</v>
      </c>
    </row>
    <row r="231" spans="1:107" x14ac:dyDescent="0.2">
      <c r="A231">
        <f>ROW(Source!A415)</f>
        <v>415</v>
      </c>
      <c r="B231">
        <v>38799519</v>
      </c>
      <c r="C231">
        <v>38801006</v>
      </c>
      <c r="D231">
        <v>38451941</v>
      </c>
      <c r="E231">
        <v>27</v>
      </c>
      <c r="F231">
        <v>1</v>
      </c>
      <c r="G231">
        <v>27</v>
      </c>
      <c r="H231">
        <v>1</v>
      </c>
      <c r="I231" t="s">
        <v>387</v>
      </c>
      <c r="J231" t="s">
        <v>3</v>
      </c>
      <c r="K231" t="s">
        <v>388</v>
      </c>
      <c r="L231">
        <v>1191</v>
      </c>
      <c r="N231">
        <v>1013</v>
      </c>
      <c r="O231" t="s">
        <v>389</v>
      </c>
      <c r="P231" t="s">
        <v>389</v>
      </c>
      <c r="Q231">
        <v>1</v>
      </c>
      <c r="W231">
        <v>0</v>
      </c>
      <c r="X231">
        <v>476480486</v>
      </c>
      <c r="Y231">
        <v>3.73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1</v>
      </c>
      <c r="AJ231">
        <v>1</v>
      </c>
      <c r="AK231">
        <v>1</v>
      </c>
      <c r="AL231">
        <v>1</v>
      </c>
      <c r="AN231">
        <v>0</v>
      </c>
      <c r="AO231">
        <v>1</v>
      </c>
      <c r="AP231">
        <v>0</v>
      </c>
      <c r="AQ231">
        <v>0</v>
      </c>
      <c r="AR231">
        <v>0</v>
      </c>
      <c r="AS231" t="s">
        <v>3</v>
      </c>
      <c r="AT231">
        <v>3.73</v>
      </c>
      <c r="AU231" t="s">
        <v>3</v>
      </c>
      <c r="AV231">
        <v>1</v>
      </c>
      <c r="AW231">
        <v>2</v>
      </c>
      <c r="AX231">
        <v>38801013</v>
      </c>
      <c r="AY231">
        <v>1</v>
      </c>
      <c r="AZ231">
        <v>0</v>
      </c>
      <c r="BA231">
        <v>205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CX231">
        <f>Y231*Source!I415</f>
        <v>24.245000000000001</v>
      </c>
      <c r="CY231">
        <f>AD231</f>
        <v>0</v>
      </c>
      <c r="CZ231">
        <f>AH231</f>
        <v>0</v>
      </c>
      <c r="DA231">
        <f>AL231</f>
        <v>1</v>
      </c>
      <c r="DB231">
        <f t="shared" si="23"/>
        <v>0</v>
      </c>
      <c r="DC231">
        <f t="shared" si="24"/>
        <v>0</v>
      </c>
    </row>
    <row r="232" spans="1:107" x14ac:dyDescent="0.2">
      <c r="A232">
        <f>ROW(Source!A415)</f>
        <v>415</v>
      </c>
      <c r="B232">
        <v>38799519</v>
      </c>
      <c r="C232">
        <v>38801006</v>
      </c>
      <c r="D232">
        <v>38464567</v>
      </c>
      <c r="E232">
        <v>1</v>
      </c>
      <c r="F232">
        <v>1</v>
      </c>
      <c r="G232">
        <v>27</v>
      </c>
      <c r="H232">
        <v>2</v>
      </c>
      <c r="I232" t="s">
        <v>412</v>
      </c>
      <c r="J232" t="s">
        <v>413</v>
      </c>
      <c r="K232" t="s">
        <v>414</v>
      </c>
      <c r="L232">
        <v>1368</v>
      </c>
      <c r="N232">
        <v>1011</v>
      </c>
      <c r="O232" t="s">
        <v>393</v>
      </c>
      <c r="P232" t="s">
        <v>393</v>
      </c>
      <c r="Q232">
        <v>1</v>
      </c>
      <c r="W232">
        <v>0</v>
      </c>
      <c r="X232">
        <v>734322642</v>
      </c>
      <c r="Y232">
        <v>1.49</v>
      </c>
      <c r="AA232">
        <v>0</v>
      </c>
      <c r="AB232">
        <v>744.2</v>
      </c>
      <c r="AC232">
        <v>423.17</v>
      </c>
      <c r="AD232">
        <v>0</v>
      </c>
      <c r="AE232">
        <v>0</v>
      </c>
      <c r="AF232">
        <v>744.2</v>
      </c>
      <c r="AG232">
        <v>423.17</v>
      </c>
      <c r="AH232">
        <v>0</v>
      </c>
      <c r="AI232">
        <v>1</v>
      </c>
      <c r="AJ232">
        <v>1</v>
      </c>
      <c r="AK232">
        <v>1</v>
      </c>
      <c r="AL232">
        <v>1</v>
      </c>
      <c r="AN232">
        <v>0</v>
      </c>
      <c r="AO232">
        <v>1</v>
      </c>
      <c r="AP232">
        <v>0</v>
      </c>
      <c r="AQ232">
        <v>0</v>
      </c>
      <c r="AR232">
        <v>0</v>
      </c>
      <c r="AS232" t="s">
        <v>3</v>
      </c>
      <c r="AT232">
        <v>1.49</v>
      </c>
      <c r="AU232" t="s">
        <v>3</v>
      </c>
      <c r="AV232">
        <v>0</v>
      </c>
      <c r="AW232">
        <v>2</v>
      </c>
      <c r="AX232">
        <v>38801014</v>
      </c>
      <c r="AY232">
        <v>1</v>
      </c>
      <c r="AZ232">
        <v>0</v>
      </c>
      <c r="BA232">
        <v>206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CX232">
        <f>Y232*Source!I415</f>
        <v>9.6850000000000005</v>
      </c>
      <c r="CY232">
        <f>AB232</f>
        <v>744.2</v>
      </c>
      <c r="CZ232">
        <f>AF232</f>
        <v>744.2</v>
      </c>
      <c r="DA232">
        <f>AJ232</f>
        <v>1</v>
      </c>
      <c r="DB232">
        <f t="shared" si="23"/>
        <v>1108.8599999999999</v>
      </c>
      <c r="DC232">
        <f t="shared" si="24"/>
        <v>630.52</v>
      </c>
    </row>
    <row r="233" spans="1:107" x14ac:dyDescent="0.2">
      <c r="A233">
        <f>ROW(Source!A415)</f>
        <v>415</v>
      </c>
      <c r="B233">
        <v>38799519</v>
      </c>
      <c r="C233">
        <v>38801006</v>
      </c>
      <c r="D233">
        <v>38465034</v>
      </c>
      <c r="E233">
        <v>1</v>
      </c>
      <c r="F233">
        <v>1</v>
      </c>
      <c r="G233">
        <v>27</v>
      </c>
      <c r="H233">
        <v>2</v>
      </c>
      <c r="I233" t="s">
        <v>420</v>
      </c>
      <c r="J233" t="s">
        <v>421</v>
      </c>
      <c r="K233" t="s">
        <v>422</v>
      </c>
      <c r="L233">
        <v>1368</v>
      </c>
      <c r="N233">
        <v>1011</v>
      </c>
      <c r="O233" t="s">
        <v>393</v>
      </c>
      <c r="P233" t="s">
        <v>393</v>
      </c>
      <c r="Q233">
        <v>1</v>
      </c>
      <c r="W233">
        <v>0</v>
      </c>
      <c r="X233">
        <v>-1383996176</v>
      </c>
      <c r="Y233">
        <v>1.49</v>
      </c>
      <c r="AA233">
        <v>0</v>
      </c>
      <c r="AB233">
        <v>3.75</v>
      </c>
      <c r="AC233">
        <v>2.56</v>
      </c>
      <c r="AD233">
        <v>0</v>
      </c>
      <c r="AE233">
        <v>0</v>
      </c>
      <c r="AF233">
        <v>3.75</v>
      </c>
      <c r="AG233">
        <v>2.56</v>
      </c>
      <c r="AH233">
        <v>0</v>
      </c>
      <c r="AI233">
        <v>1</v>
      </c>
      <c r="AJ233">
        <v>1</v>
      </c>
      <c r="AK233">
        <v>1</v>
      </c>
      <c r="AL233">
        <v>1</v>
      </c>
      <c r="AN233">
        <v>0</v>
      </c>
      <c r="AO233">
        <v>1</v>
      </c>
      <c r="AP233">
        <v>0</v>
      </c>
      <c r="AQ233">
        <v>0</v>
      </c>
      <c r="AR233">
        <v>0</v>
      </c>
      <c r="AS233" t="s">
        <v>3</v>
      </c>
      <c r="AT233">
        <v>1.49</v>
      </c>
      <c r="AU233" t="s">
        <v>3</v>
      </c>
      <c r="AV233">
        <v>0</v>
      </c>
      <c r="AW233">
        <v>2</v>
      </c>
      <c r="AX233">
        <v>38801015</v>
      </c>
      <c r="AY233">
        <v>1</v>
      </c>
      <c r="AZ233">
        <v>0</v>
      </c>
      <c r="BA233">
        <v>207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CX233">
        <f>Y233*Source!I415</f>
        <v>9.6850000000000005</v>
      </c>
      <c r="CY233">
        <f>AB233</f>
        <v>3.75</v>
      </c>
      <c r="CZ233">
        <f>AF233</f>
        <v>3.75</v>
      </c>
      <c r="DA233">
        <f>AJ233</f>
        <v>1</v>
      </c>
      <c r="DB233">
        <f t="shared" si="23"/>
        <v>5.59</v>
      </c>
      <c r="DC233">
        <f t="shared" si="24"/>
        <v>3.81</v>
      </c>
    </row>
    <row r="234" spans="1:107" x14ac:dyDescent="0.2">
      <c r="A234">
        <f>ROW(Source!A415)</f>
        <v>415</v>
      </c>
      <c r="B234">
        <v>38799519</v>
      </c>
      <c r="C234">
        <v>38801006</v>
      </c>
      <c r="D234">
        <v>38466379</v>
      </c>
      <c r="E234">
        <v>1</v>
      </c>
      <c r="F234">
        <v>1</v>
      </c>
      <c r="G234">
        <v>27</v>
      </c>
      <c r="H234">
        <v>3</v>
      </c>
      <c r="I234" t="s">
        <v>432</v>
      </c>
      <c r="J234" t="s">
        <v>433</v>
      </c>
      <c r="K234" t="s">
        <v>434</v>
      </c>
      <c r="L234">
        <v>1339</v>
      </c>
      <c r="N234">
        <v>1007</v>
      </c>
      <c r="O234" t="s">
        <v>35</v>
      </c>
      <c r="P234" t="s">
        <v>35</v>
      </c>
      <c r="Q234">
        <v>1</v>
      </c>
      <c r="W234">
        <v>0</v>
      </c>
      <c r="X234">
        <v>-1397951900</v>
      </c>
      <c r="Y234">
        <v>0.18</v>
      </c>
      <c r="AA234">
        <v>1436.5</v>
      </c>
      <c r="AB234">
        <v>0</v>
      </c>
      <c r="AC234">
        <v>0</v>
      </c>
      <c r="AD234">
        <v>0</v>
      </c>
      <c r="AE234">
        <v>1436.5</v>
      </c>
      <c r="AF234">
        <v>0</v>
      </c>
      <c r="AG234">
        <v>0</v>
      </c>
      <c r="AH234">
        <v>0</v>
      </c>
      <c r="AI234">
        <v>1</v>
      </c>
      <c r="AJ234">
        <v>1</v>
      </c>
      <c r="AK234">
        <v>1</v>
      </c>
      <c r="AL234">
        <v>1</v>
      </c>
      <c r="AN234">
        <v>0</v>
      </c>
      <c r="AO234">
        <v>1</v>
      </c>
      <c r="AP234">
        <v>0</v>
      </c>
      <c r="AQ234">
        <v>0</v>
      </c>
      <c r="AR234">
        <v>0</v>
      </c>
      <c r="AS234" t="s">
        <v>3</v>
      </c>
      <c r="AT234">
        <v>0.18</v>
      </c>
      <c r="AU234" t="s">
        <v>3</v>
      </c>
      <c r="AV234">
        <v>0</v>
      </c>
      <c r="AW234">
        <v>2</v>
      </c>
      <c r="AX234">
        <v>38801016</v>
      </c>
      <c r="AY234">
        <v>1</v>
      </c>
      <c r="AZ234">
        <v>0</v>
      </c>
      <c r="BA234">
        <v>208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CX234">
        <f>Y234*Source!I415</f>
        <v>1.17</v>
      </c>
      <c r="CY234">
        <f>AA234</f>
        <v>1436.5</v>
      </c>
      <c r="CZ234">
        <f>AE234</f>
        <v>1436.5</v>
      </c>
      <c r="DA234">
        <f>AI234</f>
        <v>1</v>
      </c>
      <c r="DB234">
        <f t="shared" si="23"/>
        <v>258.57</v>
      </c>
      <c r="DC234">
        <f t="shared" si="24"/>
        <v>0</v>
      </c>
    </row>
    <row r="235" spans="1:107" x14ac:dyDescent="0.2">
      <c r="A235">
        <f>ROW(Source!A415)</f>
        <v>415</v>
      </c>
      <c r="B235">
        <v>38799519</v>
      </c>
      <c r="C235">
        <v>38801006</v>
      </c>
      <c r="D235">
        <v>38466380</v>
      </c>
      <c r="E235">
        <v>1</v>
      </c>
      <c r="F235">
        <v>1</v>
      </c>
      <c r="G235">
        <v>27</v>
      </c>
      <c r="H235">
        <v>3</v>
      </c>
      <c r="I235" t="s">
        <v>435</v>
      </c>
      <c r="J235" t="s">
        <v>436</v>
      </c>
      <c r="K235" t="s">
        <v>437</v>
      </c>
      <c r="L235">
        <v>1339</v>
      </c>
      <c r="N235">
        <v>1007</v>
      </c>
      <c r="O235" t="s">
        <v>35</v>
      </c>
      <c r="P235" t="s">
        <v>35</v>
      </c>
      <c r="Q235">
        <v>1</v>
      </c>
      <c r="W235">
        <v>0</v>
      </c>
      <c r="X235">
        <v>1126927627</v>
      </c>
      <c r="Y235">
        <v>0.09</v>
      </c>
      <c r="AA235">
        <v>1436.5</v>
      </c>
      <c r="AB235">
        <v>0</v>
      </c>
      <c r="AC235">
        <v>0</v>
      </c>
      <c r="AD235">
        <v>0</v>
      </c>
      <c r="AE235">
        <v>1436.5</v>
      </c>
      <c r="AF235">
        <v>0</v>
      </c>
      <c r="AG235">
        <v>0</v>
      </c>
      <c r="AH235">
        <v>0</v>
      </c>
      <c r="AI235">
        <v>1</v>
      </c>
      <c r="AJ235">
        <v>1</v>
      </c>
      <c r="AK235">
        <v>1</v>
      </c>
      <c r="AL235">
        <v>1</v>
      </c>
      <c r="AN235">
        <v>0</v>
      </c>
      <c r="AO235">
        <v>1</v>
      </c>
      <c r="AP235">
        <v>0</v>
      </c>
      <c r="AQ235">
        <v>0</v>
      </c>
      <c r="AR235">
        <v>0</v>
      </c>
      <c r="AS235" t="s">
        <v>3</v>
      </c>
      <c r="AT235">
        <v>0.09</v>
      </c>
      <c r="AU235" t="s">
        <v>3</v>
      </c>
      <c r="AV235">
        <v>0</v>
      </c>
      <c r="AW235">
        <v>2</v>
      </c>
      <c r="AX235">
        <v>38801017</v>
      </c>
      <c r="AY235">
        <v>1</v>
      </c>
      <c r="AZ235">
        <v>0</v>
      </c>
      <c r="BA235">
        <v>209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CX235">
        <f>Y235*Source!I415</f>
        <v>0.58499999999999996</v>
      </c>
      <c r="CY235">
        <f>AA235</f>
        <v>1436.5</v>
      </c>
      <c r="CZ235">
        <f>AE235</f>
        <v>1436.5</v>
      </c>
      <c r="DA235">
        <f>AI235</f>
        <v>1</v>
      </c>
      <c r="DB235">
        <f t="shared" si="23"/>
        <v>129.29</v>
      </c>
      <c r="DC235">
        <f t="shared" si="24"/>
        <v>0</v>
      </c>
    </row>
    <row r="236" spans="1:107" x14ac:dyDescent="0.2">
      <c r="A236">
        <f>ROW(Source!A415)</f>
        <v>415</v>
      </c>
      <c r="B236">
        <v>38799519</v>
      </c>
      <c r="C236">
        <v>38801006</v>
      </c>
      <c r="D236">
        <v>38466382</v>
      </c>
      <c r="E236">
        <v>1</v>
      </c>
      <c r="F236">
        <v>1</v>
      </c>
      <c r="G236">
        <v>27</v>
      </c>
      <c r="H236">
        <v>3</v>
      </c>
      <c r="I236" t="s">
        <v>438</v>
      </c>
      <c r="J236" t="s">
        <v>439</v>
      </c>
      <c r="K236" t="s">
        <v>440</v>
      </c>
      <c r="L236">
        <v>1339</v>
      </c>
      <c r="N236">
        <v>1007</v>
      </c>
      <c r="O236" t="s">
        <v>35</v>
      </c>
      <c r="P236" t="s">
        <v>35</v>
      </c>
      <c r="Q236">
        <v>1</v>
      </c>
      <c r="W236">
        <v>0</v>
      </c>
      <c r="X236">
        <v>2054449869</v>
      </c>
      <c r="Y236">
        <v>1</v>
      </c>
      <c r="AA236">
        <v>1241</v>
      </c>
      <c r="AB236">
        <v>0</v>
      </c>
      <c r="AC236">
        <v>0</v>
      </c>
      <c r="AD236">
        <v>0</v>
      </c>
      <c r="AE236">
        <v>1241</v>
      </c>
      <c r="AF236">
        <v>0</v>
      </c>
      <c r="AG236">
        <v>0</v>
      </c>
      <c r="AH236">
        <v>0</v>
      </c>
      <c r="AI236">
        <v>1</v>
      </c>
      <c r="AJ236">
        <v>1</v>
      </c>
      <c r="AK236">
        <v>1</v>
      </c>
      <c r="AL236">
        <v>1</v>
      </c>
      <c r="AN236">
        <v>0</v>
      </c>
      <c r="AO236">
        <v>1</v>
      </c>
      <c r="AP236">
        <v>0</v>
      </c>
      <c r="AQ236">
        <v>0</v>
      </c>
      <c r="AR236">
        <v>0</v>
      </c>
      <c r="AS236" t="s">
        <v>3</v>
      </c>
      <c r="AT236">
        <v>1</v>
      </c>
      <c r="AU236" t="s">
        <v>3</v>
      </c>
      <c r="AV236">
        <v>0</v>
      </c>
      <c r="AW236">
        <v>2</v>
      </c>
      <c r="AX236">
        <v>38801018</v>
      </c>
      <c r="AY236">
        <v>1</v>
      </c>
      <c r="AZ236">
        <v>0</v>
      </c>
      <c r="BA236">
        <v>210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CX236">
        <f>Y236*Source!I415</f>
        <v>6.5</v>
      </c>
      <c r="CY236">
        <f>AA236</f>
        <v>1241</v>
      </c>
      <c r="CZ236">
        <f>AE236</f>
        <v>1241</v>
      </c>
      <c r="DA236">
        <f>AI236</f>
        <v>1</v>
      </c>
      <c r="DB236">
        <f t="shared" si="23"/>
        <v>1241</v>
      </c>
      <c r="DC236">
        <f t="shared" si="24"/>
        <v>0</v>
      </c>
    </row>
    <row r="237" spans="1:107" x14ac:dyDescent="0.2">
      <c r="A237">
        <f>ROW(Source!A416)</f>
        <v>416</v>
      </c>
      <c r="B237">
        <v>38799519</v>
      </c>
      <c r="C237">
        <v>38801019</v>
      </c>
      <c r="D237">
        <v>38451941</v>
      </c>
      <c r="E237">
        <v>27</v>
      </c>
      <c r="F237">
        <v>1</v>
      </c>
      <c r="G237">
        <v>27</v>
      </c>
      <c r="H237">
        <v>1</v>
      </c>
      <c r="I237" t="s">
        <v>387</v>
      </c>
      <c r="J237" t="s">
        <v>3</v>
      </c>
      <c r="K237" t="s">
        <v>388</v>
      </c>
      <c r="L237">
        <v>1191</v>
      </c>
      <c r="N237">
        <v>1013</v>
      </c>
      <c r="O237" t="s">
        <v>389</v>
      </c>
      <c r="P237" t="s">
        <v>389</v>
      </c>
      <c r="Q237">
        <v>1</v>
      </c>
      <c r="W237">
        <v>0</v>
      </c>
      <c r="X237">
        <v>476480486</v>
      </c>
      <c r="Y237">
        <v>16.440000000000001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1</v>
      </c>
      <c r="AJ237">
        <v>1</v>
      </c>
      <c r="AK237">
        <v>1</v>
      </c>
      <c r="AL237">
        <v>1</v>
      </c>
      <c r="AN237">
        <v>0</v>
      </c>
      <c r="AO237">
        <v>1</v>
      </c>
      <c r="AP237">
        <v>0</v>
      </c>
      <c r="AQ237">
        <v>0</v>
      </c>
      <c r="AR237">
        <v>0</v>
      </c>
      <c r="AS237" t="s">
        <v>3</v>
      </c>
      <c r="AT237">
        <v>16.440000000000001</v>
      </c>
      <c r="AU237" t="s">
        <v>3</v>
      </c>
      <c r="AV237">
        <v>1</v>
      </c>
      <c r="AW237">
        <v>2</v>
      </c>
      <c r="AX237">
        <v>38801027</v>
      </c>
      <c r="AY237">
        <v>1</v>
      </c>
      <c r="AZ237">
        <v>0</v>
      </c>
      <c r="BA237">
        <v>211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CX237">
        <f>Y237*Source!I416</f>
        <v>7.1267400000000007</v>
      </c>
      <c r="CY237">
        <f>AD237</f>
        <v>0</v>
      </c>
      <c r="CZ237">
        <f>AH237</f>
        <v>0</v>
      </c>
      <c r="DA237">
        <f>AL237</f>
        <v>1</v>
      </c>
      <c r="DB237">
        <f t="shared" si="23"/>
        <v>0</v>
      </c>
      <c r="DC237">
        <f t="shared" si="24"/>
        <v>0</v>
      </c>
    </row>
    <row r="238" spans="1:107" x14ac:dyDescent="0.2">
      <c r="A238">
        <f>ROW(Source!A416)</f>
        <v>416</v>
      </c>
      <c r="B238">
        <v>38799519</v>
      </c>
      <c r="C238">
        <v>38801019</v>
      </c>
      <c r="D238">
        <v>38464567</v>
      </c>
      <c r="E238">
        <v>1</v>
      </c>
      <c r="F238">
        <v>1</v>
      </c>
      <c r="G238">
        <v>27</v>
      </c>
      <c r="H238">
        <v>2</v>
      </c>
      <c r="I238" t="s">
        <v>412</v>
      </c>
      <c r="J238" t="s">
        <v>413</v>
      </c>
      <c r="K238" t="s">
        <v>414</v>
      </c>
      <c r="L238">
        <v>1368</v>
      </c>
      <c r="N238">
        <v>1011</v>
      </c>
      <c r="O238" t="s">
        <v>393</v>
      </c>
      <c r="P238" t="s">
        <v>393</v>
      </c>
      <c r="Q238">
        <v>1</v>
      </c>
      <c r="W238">
        <v>0</v>
      </c>
      <c r="X238">
        <v>734322642</v>
      </c>
      <c r="Y238">
        <v>0.55000000000000004</v>
      </c>
      <c r="AA238">
        <v>0</v>
      </c>
      <c r="AB238">
        <v>744.2</v>
      </c>
      <c r="AC238">
        <v>423.17</v>
      </c>
      <c r="AD238">
        <v>0</v>
      </c>
      <c r="AE238">
        <v>0</v>
      </c>
      <c r="AF238">
        <v>744.2</v>
      </c>
      <c r="AG238">
        <v>423.17</v>
      </c>
      <c r="AH238">
        <v>0</v>
      </c>
      <c r="AI238">
        <v>1</v>
      </c>
      <c r="AJ238">
        <v>1</v>
      </c>
      <c r="AK238">
        <v>1</v>
      </c>
      <c r="AL238">
        <v>1</v>
      </c>
      <c r="AN238">
        <v>0</v>
      </c>
      <c r="AO238">
        <v>1</v>
      </c>
      <c r="AP238">
        <v>0</v>
      </c>
      <c r="AQ238">
        <v>0</v>
      </c>
      <c r="AR238">
        <v>0</v>
      </c>
      <c r="AS238" t="s">
        <v>3</v>
      </c>
      <c r="AT238">
        <v>0.55000000000000004</v>
      </c>
      <c r="AU238" t="s">
        <v>3</v>
      </c>
      <c r="AV238">
        <v>0</v>
      </c>
      <c r="AW238">
        <v>2</v>
      </c>
      <c r="AX238">
        <v>38801028</v>
      </c>
      <c r="AY238">
        <v>1</v>
      </c>
      <c r="AZ238">
        <v>0</v>
      </c>
      <c r="BA238">
        <v>212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CX238">
        <f>Y238*Source!I416</f>
        <v>0.23842500000000003</v>
      </c>
      <c r="CY238">
        <f>AB238</f>
        <v>744.2</v>
      </c>
      <c r="CZ238">
        <f>AF238</f>
        <v>744.2</v>
      </c>
      <c r="DA238">
        <f>AJ238</f>
        <v>1</v>
      </c>
      <c r="DB238">
        <f t="shared" si="23"/>
        <v>409.31</v>
      </c>
      <c r="DC238">
        <f t="shared" si="24"/>
        <v>232.74</v>
      </c>
    </row>
    <row r="239" spans="1:107" x14ac:dyDescent="0.2">
      <c r="A239">
        <f>ROW(Source!A416)</f>
        <v>416</v>
      </c>
      <c r="B239">
        <v>38799519</v>
      </c>
      <c r="C239">
        <v>38801019</v>
      </c>
      <c r="D239">
        <v>38464689</v>
      </c>
      <c r="E239">
        <v>1</v>
      </c>
      <c r="F239">
        <v>1</v>
      </c>
      <c r="G239">
        <v>27</v>
      </c>
      <c r="H239">
        <v>2</v>
      </c>
      <c r="I239" t="s">
        <v>441</v>
      </c>
      <c r="J239" t="s">
        <v>442</v>
      </c>
      <c r="K239" t="s">
        <v>443</v>
      </c>
      <c r="L239">
        <v>1368</v>
      </c>
      <c r="N239">
        <v>1011</v>
      </c>
      <c r="O239" t="s">
        <v>393</v>
      </c>
      <c r="P239" t="s">
        <v>393</v>
      </c>
      <c r="Q239">
        <v>1</v>
      </c>
      <c r="W239">
        <v>0</v>
      </c>
      <c r="X239">
        <v>831329057</v>
      </c>
      <c r="Y239">
        <v>0.81</v>
      </c>
      <c r="AA239">
        <v>0</v>
      </c>
      <c r="AB239">
        <v>1977.07</v>
      </c>
      <c r="AC239">
        <v>1200.6500000000001</v>
      </c>
      <c r="AD239">
        <v>0</v>
      </c>
      <c r="AE239">
        <v>0</v>
      </c>
      <c r="AF239">
        <v>1977.07</v>
      </c>
      <c r="AG239">
        <v>1200.6500000000001</v>
      </c>
      <c r="AH239">
        <v>0</v>
      </c>
      <c r="AI239">
        <v>1</v>
      </c>
      <c r="AJ239">
        <v>1</v>
      </c>
      <c r="AK239">
        <v>1</v>
      </c>
      <c r="AL239">
        <v>1</v>
      </c>
      <c r="AN239">
        <v>0</v>
      </c>
      <c r="AO239">
        <v>1</v>
      </c>
      <c r="AP239">
        <v>0</v>
      </c>
      <c r="AQ239">
        <v>0</v>
      </c>
      <c r="AR239">
        <v>0</v>
      </c>
      <c r="AS239" t="s">
        <v>3</v>
      </c>
      <c r="AT239">
        <v>0.81</v>
      </c>
      <c r="AU239" t="s">
        <v>3</v>
      </c>
      <c r="AV239">
        <v>0</v>
      </c>
      <c r="AW239">
        <v>2</v>
      </c>
      <c r="AX239">
        <v>38801029</v>
      </c>
      <c r="AY239">
        <v>1</v>
      </c>
      <c r="AZ239">
        <v>0</v>
      </c>
      <c r="BA239">
        <v>213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CX239">
        <f>Y239*Source!I416</f>
        <v>0.35113500000000003</v>
      </c>
      <c r="CY239">
        <f>AB239</f>
        <v>1977.07</v>
      </c>
      <c r="CZ239">
        <f>AF239</f>
        <v>1977.07</v>
      </c>
      <c r="DA239">
        <f>AJ239</f>
        <v>1</v>
      </c>
      <c r="DB239">
        <f t="shared" si="23"/>
        <v>1601.43</v>
      </c>
      <c r="DC239">
        <f t="shared" si="24"/>
        <v>972.53</v>
      </c>
    </row>
    <row r="240" spans="1:107" x14ac:dyDescent="0.2">
      <c r="A240">
        <f>ROW(Source!A416)</f>
        <v>416</v>
      </c>
      <c r="B240">
        <v>38799519</v>
      </c>
      <c r="C240">
        <v>38801019</v>
      </c>
      <c r="D240">
        <v>38465034</v>
      </c>
      <c r="E240">
        <v>1</v>
      </c>
      <c r="F240">
        <v>1</v>
      </c>
      <c r="G240">
        <v>27</v>
      </c>
      <c r="H240">
        <v>2</v>
      </c>
      <c r="I240" t="s">
        <v>420</v>
      </c>
      <c r="J240" t="s">
        <v>421</v>
      </c>
      <c r="K240" t="s">
        <v>422</v>
      </c>
      <c r="L240">
        <v>1368</v>
      </c>
      <c r="N240">
        <v>1011</v>
      </c>
      <c r="O240" t="s">
        <v>393</v>
      </c>
      <c r="P240" t="s">
        <v>393</v>
      </c>
      <c r="Q240">
        <v>1</v>
      </c>
      <c r="W240">
        <v>0</v>
      </c>
      <c r="X240">
        <v>-1383996176</v>
      </c>
      <c r="Y240">
        <v>1.08</v>
      </c>
      <c r="AA240">
        <v>0</v>
      </c>
      <c r="AB240">
        <v>3.75</v>
      </c>
      <c r="AC240">
        <v>2.56</v>
      </c>
      <c r="AD240">
        <v>0</v>
      </c>
      <c r="AE240">
        <v>0</v>
      </c>
      <c r="AF240">
        <v>3.75</v>
      </c>
      <c r="AG240">
        <v>2.56</v>
      </c>
      <c r="AH240">
        <v>0</v>
      </c>
      <c r="AI240">
        <v>1</v>
      </c>
      <c r="AJ240">
        <v>1</v>
      </c>
      <c r="AK240">
        <v>1</v>
      </c>
      <c r="AL240">
        <v>1</v>
      </c>
      <c r="AN240">
        <v>0</v>
      </c>
      <c r="AO240">
        <v>1</v>
      </c>
      <c r="AP240">
        <v>0</v>
      </c>
      <c r="AQ240">
        <v>0</v>
      </c>
      <c r="AR240">
        <v>0</v>
      </c>
      <c r="AS240" t="s">
        <v>3</v>
      </c>
      <c r="AT240">
        <v>1.08</v>
      </c>
      <c r="AU240" t="s">
        <v>3</v>
      </c>
      <c r="AV240">
        <v>0</v>
      </c>
      <c r="AW240">
        <v>2</v>
      </c>
      <c r="AX240">
        <v>38801030</v>
      </c>
      <c r="AY240">
        <v>1</v>
      </c>
      <c r="AZ240">
        <v>0</v>
      </c>
      <c r="BA240">
        <v>214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CX240">
        <f>Y240*Source!I416</f>
        <v>0.46818000000000004</v>
      </c>
      <c r="CY240">
        <f>AB240</f>
        <v>3.75</v>
      </c>
      <c r="CZ240">
        <f>AF240</f>
        <v>3.75</v>
      </c>
      <c r="DA240">
        <f>AJ240</f>
        <v>1</v>
      </c>
      <c r="DB240">
        <f t="shared" si="23"/>
        <v>4.05</v>
      </c>
      <c r="DC240">
        <f t="shared" si="24"/>
        <v>2.76</v>
      </c>
    </row>
    <row r="241" spans="1:107" x14ac:dyDescent="0.2">
      <c r="A241">
        <f>ROW(Source!A416)</f>
        <v>416</v>
      </c>
      <c r="B241">
        <v>38799519</v>
      </c>
      <c r="C241">
        <v>38801019</v>
      </c>
      <c r="D241">
        <v>38465228</v>
      </c>
      <c r="E241">
        <v>1</v>
      </c>
      <c r="F241">
        <v>1</v>
      </c>
      <c r="G241">
        <v>27</v>
      </c>
      <c r="H241">
        <v>3</v>
      </c>
      <c r="I241" t="s">
        <v>444</v>
      </c>
      <c r="J241" t="s">
        <v>445</v>
      </c>
      <c r="K241" t="s">
        <v>446</v>
      </c>
      <c r="L241">
        <v>1348</v>
      </c>
      <c r="N241">
        <v>1009</v>
      </c>
      <c r="O241" t="s">
        <v>155</v>
      </c>
      <c r="P241" t="s">
        <v>155</v>
      </c>
      <c r="Q241">
        <v>1000</v>
      </c>
      <c r="W241">
        <v>0</v>
      </c>
      <c r="X241">
        <v>1123680579</v>
      </c>
      <c r="Y241">
        <v>6.9000000000000006E-2</v>
      </c>
      <c r="AA241">
        <v>36258.75</v>
      </c>
      <c r="AB241">
        <v>0</v>
      </c>
      <c r="AC241">
        <v>0</v>
      </c>
      <c r="AD241">
        <v>0</v>
      </c>
      <c r="AE241">
        <v>36258.75</v>
      </c>
      <c r="AF241">
        <v>0</v>
      </c>
      <c r="AG241">
        <v>0</v>
      </c>
      <c r="AH241">
        <v>0</v>
      </c>
      <c r="AI241">
        <v>1</v>
      </c>
      <c r="AJ241">
        <v>1</v>
      </c>
      <c r="AK241">
        <v>1</v>
      </c>
      <c r="AL241">
        <v>1</v>
      </c>
      <c r="AN241">
        <v>0</v>
      </c>
      <c r="AO241">
        <v>1</v>
      </c>
      <c r="AP241">
        <v>0</v>
      </c>
      <c r="AQ241">
        <v>0</v>
      </c>
      <c r="AR241">
        <v>0</v>
      </c>
      <c r="AS241" t="s">
        <v>3</v>
      </c>
      <c r="AT241">
        <v>6.9000000000000006E-2</v>
      </c>
      <c r="AU241" t="s">
        <v>3</v>
      </c>
      <c r="AV241">
        <v>0</v>
      </c>
      <c r="AW241">
        <v>2</v>
      </c>
      <c r="AX241">
        <v>38801031</v>
      </c>
      <c r="AY241">
        <v>1</v>
      </c>
      <c r="AZ241">
        <v>0</v>
      </c>
      <c r="BA241">
        <v>215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CX241">
        <f>Y241*Source!I416</f>
        <v>2.9911500000000001E-2</v>
      </c>
      <c r="CY241">
        <f>AA241</f>
        <v>36258.75</v>
      </c>
      <c r="CZ241">
        <f>AE241</f>
        <v>36258.75</v>
      </c>
      <c r="DA241">
        <f>AI241</f>
        <v>1</v>
      </c>
      <c r="DB241">
        <f t="shared" si="23"/>
        <v>2501.85</v>
      </c>
      <c r="DC241">
        <f t="shared" si="24"/>
        <v>0</v>
      </c>
    </row>
    <row r="242" spans="1:107" x14ac:dyDescent="0.2">
      <c r="A242">
        <f>ROW(Source!A416)</f>
        <v>416</v>
      </c>
      <c r="B242">
        <v>38799519</v>
      </c>
      <c r="C242">
        <v>38801019</v>
      </c>
      <c r="D242">
        <v>38465769</v>
      </c>
      <c r="E242">
        <v>1</v>
      </c>
      <c r="F242">
        <v>1</v>
      </c>
      <c r="G242">
        <v>27</v>
      </c>
      <c r="H242">
        <v>3</v>
      </c>
      <c r="I242" t="s">
        <v>447</v>
      </c>
      <c r="J242" t="s">
        <v>448</v>
      </c>
      <c r="K242" t="s">
        <v>449</v>
      </c>
      <c r="L242">
        <v>1339</v>
      </c>
      <c r="N242">
        <v>1007</v>
      </c>
      <c r="O242" t="s">
        <v>35</v>
      </c>
      <c r="P242" t="s">
        <v>35</v>
      </c>
      <c r="Q242">
        <v>1</v>
      </c>
      <c r="W242">
        <v>0</v>
      </c>
      <c r="X242">
        <v>-1674634845</v>
      </c>
      <c r="Y242">
        <v>0.01</v>
      </c>
      <c r="AA242">
        <v>7064.05</v>
      </c>
      <c r="AB242">
        <v>0</v>
      </c>
      <c r="AC242">
        <v>0</v>
      </c>
      <c r="AD242">
        <v>0</v>
      </c>
      <c r="AE242">
        <v>7064.05</v>
      </c>
      <c r="AF242">
        <v>0</v>
      </c>
      <c r="AG242">
        <v>0</v>
      </c>
      <c r="AH242">
        <v>0</v>
      </c>
      <c r="AI242">
        <v>1</v>
      </c>
      <c r="AJ242">
        <v>1</v>
      </c>
      <c r="AK242">
        <v>1</v>
      </c>
      <c r="AL242">
        <v>1</v>
      </c>
      <c r="AN242">
        <v>0</v>
      </c>
      <c r="AO242">
        <v>1</v>
      </c>
      <c r="AP242">
        <v>0</v>
      </c>
      <c r="AQ242">
        <v>0</v>
      </c>
      <c r="AR242">
        <v>0</v>
      </c>
      <c r="AS242" t="s">
        <v>3</v>
      </c>
      <c r="AT242">
        <v>0.01</v>
      </c>
      <c r="AU242" t="s">
        <v>3</v>
      </c>
      <c r="AV242">
        <v>0</v>
      </c>
      <c r="AW242">
        <v>2</v>
      </c>
      <c r="AX242">
        <v>38801032</v>
      </c>
      <c r="AY242">
        <v>1</v>
      </c>
      <c r="AZ242">
        <v>0</v>
      </c>
      <c r="BA242">
        <v>216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CX242">
        <f>Y242*Source!I416</f>
        <v>4.3350000000000003E-3</v>
      </c>
      <c r="CY242">
        <f>AA242</f>
        <v>7064.05</v>
      </c>
      <c r="CZ242">
        <f>AE242</f>
        <v>7064.05</v>
      </c>
      <c r="DA242">
        <f>AI242</f>
        <v>1</v>
      </c>
      <c r="DB242">
        <f t="shared" si="23"/>
        <v>70.64</v>
      </c>
      <c r="DC242">
        <f t="shared" si="24"/>
        <v>0</v>
      </c>
    </row>
    <row r="243" spans="1:107" x14ac:dyDescent="0.2">
      <c r="A243">
        <f>ROW(Source!A416)</f>
        <v>416</v>
      </c>
      <c r="B243">
        <v>38799519</v>
      </c>
      <c r="C243">
        <v>38801019</v>
      </c>
      <c r="D243">
        <v>38468294</v>
      </c>
      <c r="E243">
        <v>1</v>
      </c>
      <c r="F243">
        <v>1</v>
      </c>
      <c r="G243">
        <v>27</v>
      </c>
      <c r="H243">
        <v>3</v>
      </c>
      <c r="I243" t="s">
        <v>450</v>
      </c>
      <c r="J243" t="s">
        <v>451</v>
      </c>
      <c r="K243" t="s">
        <v>452</v>
      </c>
      <c r="L243">
        <v>1348</v>
      </c>
      <c r="N243">
        <v>1009</v>
      </c>
      <c r="O243" t="s">
        <v>155</v>
      </c>
      <c r="P243" t="s">
        <v>155</v>
      </c>
      <c r="Q243">
        <v>1000</v>
      </c>
      <c r="W243">
        <v>0</v>
      </c>
      <c r="X243">
        <v>1103439754</v>
      </c>
      <c r="Y243">
        <v>5.79</v>
      </c>
      <c r="AA243">
        <v>2562.79</v>
      </c>
      <c r="AB243">
        <v>0</v>
      </c>
      <c r="AC243">
        <v>0</v>
      </c>
      <c r="AD243">
        <v>0</v>
      </c>
      <c r="AE243">
        <v>2562.79</v>
      </c>
      <c r="AF243">
        <v>0</v>
      </c>
      <c r="AG243">
        <v>0</v>
      </c>
      <c r="AH243">
        <v>0</v>
      </c>
      <c r="AI243">
        <v>1</v>
      </c>
      <c r="AJ243">
        <v>1</v>
      </c>
      <c r="AK243">
        <v>1</v>
      </c>
      <c r="AL243">
        <v>1</v>
      </c>
      <c r="AN243">
        <v>0</v>
      </c>
      <c r="AO243">
        <v>1</v>
      </c>
      <c r="AP243">
        <v>0</v>
      </c>
      <c r="AQ243">
        <v>0</v>
      </c>
      <c r="AR243">
        <v>0</v>
      </c>
      <c r="AS243" t="s">
        <v>3</v>
      </c>
      <c r="AT243">
        <v>5.79</v>
      </c>
      <c r="AU243" t="s">
        <v>3</v>
      </c>
      <c r="AV243">
        <v>0</v>
      </c>
      <c r="AW243">
        <v>2</v>
      </c>
      <c r="AX243">
        <v>38801033</v>
      </c>
      <c r="AY243">
        <v>1</v>
      </c>
      <c r="AZ243">
        <v>0</v>
      </c>
      <c r="BA243">
        <v>217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CX243">
        <f>Y243*Source!I416</f>
        <v>2.5099649999999998</v>
      </c>
      <c r="CY243">
        <f>AA243</f>
        <v>2562.79</v>
      </c>
      <c r="CZ243">
        <f>AE243</f>
        <v>2562.79</v>
      </c>
      <c r="DA243">
        <f>AI243</f>
        <v>1</v>
      </c>
      <c r="DB243">
        <f t="shared" si="23"/>
        <v>14838.55</v>
      </c>
      <c r="DC243">
        <f t="shared" si="24"/>
        <v>0</v>
      </c>
    </row>
    <row r="244" spans="1:107" x14ac:dyDescent="0.2">
      <c r="A244">
        <f>ROW(Source!A417)</f>
        <v>417</v>
      </c>
      <c r="B244">
        <v>38799519</v>
      </c>
      <c r="C244">
        <v>38801034</v>
      </c>
      <c r="D244">
        <v>38451941</v>
      </c>
      <c r="E244">
        <v>27</v>
      </c>
      <c r="F244">
        <v>1</v>
      </c>
      <c r="G244">
        <v>27</v>
      </c>
      <c r="H244">
        <v>1</v>
      </c>
      <c r="I244" t="s">
        <v>387</v>
      </c>
      <c r="J244" t="s">
        <v>3</v>
      </c>
      <c r="K244" t="s">
        <v>388</v>
      </c>
      <c r="L244">
        <v>1191</v>
      </c>
      <c r="N244">
        <v>1013</v>
      </c>
      <c r="O244" t="s">
        <v>389</v>
      </c>
      <c r="P244" t="s">
        <v>389</v>
      </c>
      <c r="Q244">
        <v>1</v>
      </c>
      <c r="W244">
        <v>0</v>
      </c>
      <c r="X244">
        <v>476480486</v>
      </c>
      <c r="Y244">
        <v>2.31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1</v>
      </c>
      <c r="AJ244">
        <v>1</v>
      </c>
      <c r="AK244">
        <v>1</v>
      </c>
      <c r="AL244">
        <v>1</v>
      </c>
      <c r="AN244">
        <v>0</v>
      </c>
      <c r="AO244">
        <v>1</v>
      </c>
      <c r="AP244">
        <v>0</v>
      </c>
      <c r="AQ244">
        <v>0</v>
      </c>
      <c r="AR244">
        <v>0</v>
      </c>
      <c r="AS244" t="s">
        <v>3</v>
      </c>
      <c r="AT244">
        <v>2.31</v>
      </c>
      <c r="AU244" t="s">
        <v>3</v>
      </c>
      <c r="AV244">
        <v>1</v>
      </c>
      <c r="AW244">
        <v>2</v>
      </c>
      <c r="AX244">
        <v>38801039</v>
      </c>
      <c r="AY244">
        <v>1</v>
      </c>
      <c r="AZ244">
        <v>0</v>
      </c>
      <c r="BA244">
        <v>218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CX244">
        <f>Y244*Source!I417</f>
        <v>1.001385</v>
      </c>
      <c r="CY244">
        <f>AD244</f>
        <v>0</v>
      </c>
      <c r="CZ244">
        <f>AH244</f>
        <v>0</v>
      </c>
      <c r="DA244">
        <f>AL244</f>
        <v>1</v>
      </c>
      <c r="DB244">
        <f t="shared" si="23"/>
        <v>0</v>
      </c>
      <c r="DC244">
        <f t="shared" si="24"/>
        <v>0</v>
      </c>
    </row>
    <row r="245" spans="1:107" x14ac:dyDescent="0.2">
      <c r="A245">
        <f>ROW(Source!A417)</f>
        <v>417</v>
      </c>
      <c r="B245">
        <v>38799519</v>
      </c>
      <c r="C245">
        <v>38801034</v>
      </c>
      <c r="D245">
        <v>38464567</v>
      </c>
      <c r="E245">
        <v>1</v>
      </c>
      <c r="F245">
        <v>1</v>
      </c>
      <c r="G245">
        <v>27</v>
      </c>
      <c r="H245">
        <v>2</v>
      </c>
      <c r="I245" t="s">
        <v>412</v>
      </c>
      <c r="J245" t="s">
        <v>413</v>
      </c>
      <c r="K245" t="s">
        <v>414</v>
      </c>
      <c r="L245">
        <v>1368</v>
      </c>
      <c r="N245">
        <v>1011</v>
      </c>
      <c r="O245" t="s">
        <v>393</v>
      </c>
      <c r="P245" t="s">
        <v>393</v>
      </c>
      <c r="Q245">
        <v>1</v>
      </c>
      <c r="W245">
        <v>0</v>
      </c>
      <c r="X245">
        <v>734322642</v>
      </c>
      <c r="Y245">
        <v>0.14000000000000001</v>
      </c>
      <c r="AA245">
        <v>0</v>
      </c>
      <c r="AB245">
        <v>744.2</v>
      </c>
      <c r="AC245">
        <v>423.17</v>
      </c>
      <c r="AD245">
        <v>0</v>
      </c>
      <c r="AE245">
        <v>0</v>
      </c>
      <c r="AF245">
        <v>744.2</v>
      </c>
      <c r="AG245">
        <v>423.17</v>
      </c>
      <c r="AH245">
        <v>0</v>
      </c>
      <c r="AI245">
        <v>1</v>
      </c>
      <c r="AJ245">
        <v>1</v>
      </c>
      <c r="AK245">
        <v>1</v>
      </c>
      <c r="AL245">
        <v>1</v>
      </c>
      <c r="AN245">
        <v>0</v>
      </c>
      <c r="AO245">
        <v>1</v>
      </c>
      <c r="AP245">
        <v>0</v>
      </c>
      <c r="AQ245">
        <v>0</v>
      </c>
      <c r="AR245">
        <v>0</v>
      </c>
      <c r="AS245" t="s">
        <v>3</v>
      </c>
      <c r="AT245">
        <v>0.14000000000000001</v>
      </c>
      <c r="AU245" t="s">
        <v>3</v>
      </c>
      <c r="AV245">
        <v>0</v>
      </c>
      <c r="AW245">
        <v>2</v>
      </c>
      <c r="AX245">
        <v>38801040</v>
      </c>
      <c r="AY245">
        <v>1</v>
      </c>
      <c r="AZ245">
        <v>0</v>
      </c>
      <c r="BA245">
        <v>219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CX245">
        <f>Y245*Source!I417</f>
        <v>6.0690000000000008E-2</v>
      </c>
      <c r="CY245">
        <f>AB245</f>
        <v>744.2</v>
      </c>
      <c r="CZ245">
        <f>AF245</f>
        <v>744.2</v>
      </c>
      <c r="DA245">
        <f>AJ245</f>
        <v>1</v>
      </c>
      <c r="DB245">
        <f t="shared" si="23"/>
        <v>104.19</v>
      </c>
      <c r="DC245">
        <f t="shared" si="24"/>
        <v>59.24</v>
      </c>
    </row>
    <row r="246" spans="1:107" x14ac:dyDescent="0.2">
      <c r="A246">
        <f>ROW(Source!A417)</f>
        <v>417</v>
      </c>
      <c r="B246">
        <v>38799519</v>
      </c>
      <c r="C246">
        <v>38801034</v>
      </c>
      <c r="D246">
        <v>38465034</v>
      </c>
      <c r="E246">
        <v>1</v>
      </c>
      <c r="F246">
        <v>1</v>
      </c>
      <c r="G246">
        <v>27</v>
      </c>
      <c r="H246">
        <v>2</v>
      </c>
      <c r="I246" t="s">
        <v>420</v>
      </c>
      <c r="J246" t="s">
        <v>421</v>
      </c>
      <c r="K246" t="s">
        <v>422</v>
      </c>
      <c r="L246">
        <v>1368</v>
      </c>
      <c r="N246">
        <v>1011</v>
      </c>
      <c r="O246" t="s">
        <v>393</v>
      </c>
      <c r="P246" t="s">
        <v>393</v>
      </c>
      <c r="Q246">
        <v>1</v>
      </c>
      <c r="W246">
        <v>0</v>
      </c>
      <c r="X246">
        <v>-1383996176</v>
      </c>
      <c r="Y246">
        <v>0.28000000000000003</v>
      </c>
      <c r="AA246">
        <v>0</v>
      </c>
      <c r="AB246">
        <v>3.75</v>
      </c>
      <c r="AC246">
        <v>2.56</v>
      </c>
      <c r="AD246">
        <v>0</v>
      </c>
      <c r="AE246">
        <v>0</v>
      </c>
      <c r="AF246">
        <v>3.75</v>
      </c>
      <c r="AG246">
        <v>2.56</v>
      </c>
      <c r="AH246">
        <v>0</v>
      </c>
      <c r="AI246">
        <v>1</v>
      </c>
      <c r="AJ246">
        <v>1</v>
      </c>
      <c r="AK246">
        <v>1</v>
      </c>
      <c r="AL246">
        <v>1</v>
      </c>
      <c r="AN246">
        <v>0</v>
      </c>
      <c r="AO246">
        <v>1</v>
      </c>
      <c r="AP246">
        <v>0</v>
      </c>
      <c r="AQ246">
        <v>0</v>
      </c>
      <c r="AR246">
        <v>0</v>
      </c>
      <c r="AS246" t="s">
        <v>3</v>
      </c>
      <c r="AT246">
        <v>0.28000000000000003</v>
      </c>
      <c r="AU246" t="s">
        <v>3</v>
      </c>
      <c r="AV246">
        <v>0</v>
      </c>
      <c r="AW246">
        <v>2</v>
      </c>
      <c r="AX246">
        <v>38801041</v>
      </c>
      <c r="AY246">
        <v>1</v>
      </c>
      <c r="AZ246">
        <v>0</v>
      </c>
      <c r="BA246">
        <v>220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CX246">
        <f>Y246*Source!I417</f>
        <v>0.12138000000000002</v>
      </c>
      <c r="CY246">
        <f>AB246</f>
        <v>3.75</v>
      </c>
      <c r="CZ246">
        <f>AF246</f>
        <v>3.75</v>
      </c>
      <c r="DA246">
        <f>AJ246</f>
        <v>1</v>
      </c>
      <c r="DB246">
        <f t="shared" si="23"/>
        <v>1.05</v>
      </c>
      <c r="DC246">
        <f t="shared" si="24"/>
        <v>0.72</v>
      </c>
    </row>
    <row r="247" spans="1:107" x14ac:dyDescent="0.2">
      <c r="A247">
        <f>ROW(Source!A417)</f>
        <v>417</v>
      </c>
      <c r="B247">
        <v>38799519</v>
      </c>
      <c r="C247">
        <v>38801034</v>
      </c>
      <c r="D247">
        <v>38468294</v>
      </c>
      <c r="E247">
        <v>1</v>
      </c>
      <c r="F247">
        <v>1</v>
      </c>
      <c r="G247">
        <v>27</v>
      </c>
      <c r="H247">
        <v>3</v>
      </c>
      <c r="I247" t="s">
        <v>450</v>
      </c>
      <c r="J247" t="s">
        <v>451</v>
      </c>
      <c r="K247" t="s">
        <v>452</v>
      </c>
      <c r="L247">
        <v>1348</v>
      </c>
      <c r="N247">
        <v>1009</v>
      </c>
      <c r="O247" t="s">
        <v>155</v>
      </c>
      <c r="P247" t="s">
        <v>155</v>
      </c>
      <c r="Q247">
        <v>1000</v>
      </c>
      <c r="W247">
        <v>0</v>
      </c>
      <c r="X247">
        <v>1103439754</v>
      </c>
      <c r="Y247">
        <v>1.1599999999999999</v>
      </c>
      <c r="AA247">
        <v>2562.79</v>
      </c>
      <c r="AB247">
        <v>0</v>
      </c>
      <c r="AC247">
        <v>0</v>
      </c>
      <c r="AD247">
        <v>0</v>
      </c>
      <c r="AE247">
        <v>2562.79</v>
      </c>
      <c r="AF247">
        <v>0</v>
      </c>
      <c r="AG247">
        <v>0</v>
      </c>
      <c r="AH247">
        <v>0</v>
      </c>
      <c r="AI247">
        <v>1</v>
      </c>
      <c r="AJ247">
        <v>1</v>
      </c>
      <c r="AK247">
        <v>1</v>
      </c>
      <c r="AL247">
        <v>1</v>
      </c>
      <c r="AN247">
        <v>0</v>
      </c>
      <c r="AO247">
        <v>1</v>
      </c>
      <c r="AP247">
        <v>0</v>
      </c>
      <c r="AQ247">
        <v>0</v>
      </c>
      <c r="AR247">
        <v>0</v>
      </c>
      <c r="AS247" t="s">
        <v>3</v>
      </c>
      <c r="AT247">
        <v>1.1599999999999999</v>
      </c>
      <c r="AU247" t="s">
        <v>3</v>
      </c>
      <c r="AV247">
        <v>0</v>
      </c>
      <c r="AW247">
        <v>2</v>
      </c>
      <c r="AX247">
        <v>38801042</v>
      </c>
      <c r="AY247">
        <v>1</v>
      </c>
      <c r="AZ247">
        <v>0</v>
      </c>
      <c r="BA247">
        <v>221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CX247">
        <f>Y247*Source!I417</f>
        <v>0.50285999999999997</v>
      </c>
      <c r="CY247">
        <f>AA247</f>
        <v>2562.79</v>
      </c>
      <c r="CZ247">
        <f>AE247</f>
        <v>2562.79</v>
      </c>
      <c r="DA247">
        <f>AI247</f>
        <v>1</v>
      </c>
      <c r="DB247">
        <f t="shared" si="23"/>
        <v>2972.84</v>
      </c>
      <c r="DC247">
        <f t="shared" si="24"/>
        <v>0</v>
      </c>
    </row>
    <row r="248" spans="1:107" x14ac:dyDescent="0.2">
      <c r="A248">
        <f>ROW(Source!A487)</f>
        <v>487</v>
      </c>
      <c r="B248">
        <v>38799519</v>
      </c>
      <c r="C248">
        <v>38801196</v>
      </c>
      <c r="D248">
        <v>38451941</v>
      </c>
      <c r="E248">
        <v>27</v>
      </c>
      <c r="F248">
        <v>1</v>
      </c>
      <c r="G248">
        <v>27</v>
      </c>
      <c r="H248">
        <v>1</v>
      </c>
      <c r="I248" t="s">
        <v>387</v>
      </c>
      <c r="J248" t="s">
        <v>3</v>
      </c>
      <c r="K248" t="s">
        <v>388</v>
      </c>
      <c r="L248">
        <v>1191</v>
      </c>
      <c r="N248">
        <v>1013</v>
      </c>
      <c r="O248" t="s">
        <v>389</v>
      </c>
      <c r="P248" t="s">
        <v>389</v>
      </c>
      <c r="Q248">
        <v>1</v>
      </c>
      <c r="W248">
        <v>0</v>
      </c>
      <c r="X248">
        <v>476480486</v>
      </c>
      <c r="Y248">
        <v>17.48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1</v>
      </c>
      <c r="AJ248">
        <v>1</v>
      </c>
      <c r="AK248">
        <v>1</v>
      </c>
      <c r="AL248">
        <v>1</v>
      </c>
      <c r="AN248">
        <v>0</v>
      </c>
      <c r="AO248">
        <v>1</v>
      </c>
      <c r="AP248">
        <v>1</v>
      </c>
      <c r="AQ248">
        <v>0</v>
      </c>
      <c r="AR248">
        <v>0</v>
      </c>
      <c r="AS248" t="s">
        <v>3</v>
      </c>
      <c r="AT248">
        <v>87.4</v>
      </c>
      <c r="AU248" t="s">
        <v>22</v>
      </c>
      <c r="AV248">
        <v>1</v>
      </c>
      <c r="AW248">
        <v>2</v>
      </c>
      <c r="AX248">
        <v>38801202</v>
      </c>
      <c r="AY248">
        <v>1</v>
      </c>
      <c r="AZ248">
        <v>0</v>
      </c>
      <c r="BA248">
        <v>222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CX248">
        <f>Y248*Source!I487</f>
        <v>94.916399999999996</v>
      </c>
      <c r="CY248">
        <f>AD248</f>
        <v>0</v>
      </c>
      <c r="CZ248">
        <f>AH248</f>
        <v>0</v>
      </c>
      <c r="DA248">
        <f>AL248</f>
        <v>1</v>
      </c>
      <c r="DB248">
        <f>ROUND((ROUND(AT248*CZ248,2)*0.2),6)</f>
        <v>0</v>
      </c>
      <c r="DC248">
        <f>ROUND((ROUND(AT248*AG248,2)*0.2),6)</f>
        <v>0</v>
      </c>
    </row>
    <row r="249" spans="1:107" x14ac:dyDescent="0.2">
      <c r="A249">
        <f>ROW(Source!A487)</f>
        <v>487</v>
      </c>
      <c r="B249">
        <v>38799519</v>
      </c>
      <c r="C249">
        <v>38801196</v>
      </c>
      <c r="D249">
        <v>38464342</v>
      </c>
      <c r="E249">
        <v>1</v>
      </c>
      <c r="F249">
        <v>1</v>
      </c>
      <c r="G249">
        <v>27</v>
      </c>
      <c r="H249">
        <v>2</v>
      </c>
      <c r="I249" t="s">
        <v>520</v>
      </c>
      <c r="J249" t="s">
        <v>521</v>
      </c>
      <c r="K249" t="s">
        <v>522</v>
      </c>
      <c r="L249">
        <v>1368</v>
      </c>
      <c r="N249">
        <v>1011</v>
      </c>
      <c r="O249" t="s">
        <v>393</v>
      </c>
      <c r="P249" t="s">
        <v>393</v>
      </c>
      <c r="Q249">
        <v>1</v>
      </c>
      <c r="W249">
        <v>0</v>
      </c>
      <c r="X249">
        <v>-204835879</v>
      </c>
      <c r="Y249">
        <v>3.8</v>
      </c>
      <c r="AA249">
        <v>0</v>
      </c>
      <c r="AB249">
        <v>31</v>
      </c>
      <c r="AC249">
        <v>1.35</v>
      </c>
      <c r="AD249">
        <v>0</v>
      </c>
      <c r="AE249">
        <v>0</v>
      </c>
      <c r="AF249">
        <v>31</v>
      </c>
      <c r="AG249">
        <v>1.35</v>
      </c>
      <c r="AH249">
        <v>0</v>
      </c>
      <c r="AI249">
        <v>1</v>
      </c>
      <c r="AJ249">
        <v>1</v>
      </c>
      <c r="AK249">
        <v>1</v>
      </c>
      <c r="AL249">
        <v>1</v>
      </c>
      <c r="AN249">
        <v>0</v>
      </c>
      <c r="AO249">
        <v>1</v>
      </c>
      <c r="AP249">
        <v>1</v>
      </c>
      <c r="AQ249">
        <v>0</v>
      </c>
      <c r="AR249">
        <v>0</v>
      </c>
      <c r="AS249" t="s">
        <v>3</v>
      </c>
      <c r="AT249">
        <v>19</v>
      </c>
      <c r="AU249" t="s">
        <v>22</v>
      </c>
      <c r="AV249">
        <v>0</v>
      </c>
      <c r="AW249">
        <v>2</v>
      </c>
      <c r="AX249">
        <v>38801203</v>
      </c>
      <c r="AY249">
        <v>1</v>
      </c>
      <c r="AZ249">
        <v>2048</v>
      </c>
      <c r="BA249">
        <v>223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CX249">
        <f>Y249*Source!I487</f>
        <v>20.633999999999997</v>
      </c>
      <c r="CY249">
        <f>AB249</f>
        <v>31</v>
      </c>
      <c r="CZ249">
        <f>AF249</f>
        <v>31</v>
      </c>
      <c r="DA249">
        <f>AJ249</f>
        <v>1</v>
      </c>
      <c r="DB249">
        <f>ROUND((ROUND(AT249*CZ249,2)*0.2),6)</f>
        <v>117.8</v>
      </c>
      <c r="DC249">
        <f>ROUND((ROUND(AT249*AG249,2)*0.2),6)</f>
        <v>5.13</v>
      </c>
    </row>
    <row r="250" spans="1:107" x14ac:dyDescent="0.2">
      <c r="A250">
        <f>ROW(Source!A487)</f>
        <v>487</v>
      </c>
      <c r="B250">
        <v>38799519</v>
      </c>
      <c r="C250">
        <v>38801196</v>
      </c>
      <c r="D250">
        <v>38466161</v>
      </c>
      <c r="E250">
        <v>1</v>
      </c>
      <c r="F250">
        <v>1</v>
      </c>
      <c r="G250">
        <v>27</v>
      </c>
      <c r="H250">
        <v>3</v>
      </c>
      <c r="I250" t="s">
        <v>523</v>
      </c>
      <c r="J250" t="s">
        <v>524</v>
      </c>
      <c r="K250" t="s">
        <v>525</v>
      </c>
      <c r="L250">
        <v>1348</v>
      </c>
      <c r="N250">
        <v>1009</v>
      </c>
      <c r="O250" t="s">
        <v>155</v>
      </c>
      <c r="P250" t="s">
        <v>155</v>
      </c>
      <c r="Q250">
        <v>1000</v>
      </c>
      <c r="W250">
        <v>0</v>
      </c>
      <c r="X250">
        <v>-1356276541</v>
      </c>
      <c r="Y250">
        <v>0</v>
      </c>
      <c r="AA250">
        <v>105084.63</v>
      </c>
      <c r="AB250">
        <v>0</v>
      </c>
      <c r="AC250">
        <v>0</v>
      </c>
      <c r="AD250">
        <v>0</v>
      </c>
      <c r="AE250">
        <v>105084.63</v>
      </c>
      <c r="AF250">
        <v>0</v>
      </c>
      <c r="AG250">
        <v>0</v>
      </c>
      <c r="AH250">
        <v>0</v>
      </c>
      <c r="AI250">
        <v>1</v>
      </c>
      <c r="AJ250">
        <v>1</v>
      </c>
      <c r="AK250">
        <v>1</v>
      </c>
      <c r="AL250">
        <v>1</v>
      </c>
      <c r="AN250">
        <v>0</v>
      </c>
      <c r="AO250">
        <v>1</v>
      </c>
      <c r="AP250">
        <v>1</v>
      </c>
      <c r="AQ250">
        <v>0</v>
      </c>
      <c r="AR250">
        <v>0</v>
      </c>
      <c r="AS250" t="s">
        <v>3</v>
      </c>
      <c r="AT250">
        <v>3.3E-3</v>
      </c>
      <c r="AU250" t="s">
        <v>21</v>
      </c>
      <c r="AV250">
        <v>0</v>
      </c>
      <c r="AW250">
        <v>2</v>
      </c>
      <c r="AX250">
        <v>38801204</v>
      </c>
      <c r="AY250">
        <v>1</v>
      </c>
      <c r="AZ250">
        <v>0</v>
      </c>
      <c r="BA250">
        <v>224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CX250">
        <f>Y250*Source!I487</f>
        <v>0</v>
      </c>
      <c r="CY250">
        <f>AA250</f>
        <v>105084.63</v>
      </c>
      <c r="CZ250">
        <f>AE250</f>
        <v>105084.63</v>
      </c>
      <c r="DA250">
        <f>AI250</f>
        <v>1</v>
      </c>
      <c r="DB250">
        <f>ROUND((ROUND(AT250*CZ250,2)*0),6)</f>
        <v>0</v>
      </c>
      <c r="DC250">
        <f>ROUND((ROUND(AT250*AG250,2)*0),6)</f>
        <v>0</v>
      </c>
    </row>
    <row r="251" spans="1:107" x14ac:dyDescent="0.2">
      <c r="A251">
        <f>ROW(Source!A487)</f>
        <v>487</v>
      </c>
      <c r="B251">
        <v>38799519</v>
      </c>
      <c r="C251">
        <v>38801196</v>
      </c>
      <c r="D251">
        <v>38467018</v>
      </c>
      <c r="E251">
        <v>1</v>
      </c>
      <c r="F251">
        <v>1</v>
      </c>
      <c r="G251">
        <v>27</v>
      </c>
      <c r="H251">
        <v>3</v>
      </c>
      <c r="I251" t="s">
        <v>496</v>
      </c>
      <c r="J251" t="s">
        <v>497</v>
      </c>
      <c r="K251" t="s">
        <v>498</v>
      </c>
      <c r="L251">
        <v>1348</v>
      </c>
      <c r="N251">
        <v>1009</v>
      </c>
      <c r="O251" t="s">
        <v>155</v>
      </c>
      <c r="P251" t="s">
        <v>155</v>
      </c>
      <c r="Q251">
        <v>1000</v>
      </c>
      <c r="W251">
        <v>0</v>
      </c>
      <c r="X251">
        <v>-941081254</v>
      </c>
      <c r="Y251">
        <v>0</v>
      </c>
      <c r="AA251">
        <v>110781.14</v>
      </c>
      <c r="AB251">
        <v>0</v>
      </c>
      <c r="AC251">
        <v>0</v>
      </c>
      <c r="AD251">
        <v>0</v>
      </c>
      <c r="AE251">
        <v>110781.14</v>
      </c>
      <c r="AF251">
        <v>0</v>
      </c>
      <c r="AG251">
        <v>0</v>
      </c>
      <c r="AH251">
        <v>0</v>
      </c>
      <c r="AI251">
        <v>1</v>
      </c>
      <c r="AJ251">
        <v>1</v>
      </c>
      <c r="AK251">
        <v>1</v>
      </c>
      <c r="AL251">
        <v>1</v>
      </c>
      <c r="AN251">
        <v>0</v>
      </c>
      <c r="AO251">
        <v>1</v>
      </c>
      <c r="AP251">
        <v>1</v>
      </c>
      <c r="AQ251">
        <v>0</v>
      </c>
      <c r="AR251">
        <v>0</v>
      </c>
      <c r="AS251" t="s">
        <v>3</v>
      </c>
      <c r="AT251">
        <v>1.4E-3</v>
      </c>
      <c r="AU251" t="s">
        <v>21</v>
      </c>
      <c r="AV251">
        <v>0</v>
      </c>
      <c r="AW251">
        <v>2</v>
      </c>
      <c r="AX251">
        <v>38801205</v>
      </c>
      <c r="AY251">
        <v>1</v>
      </c>
      <c r="AZ251">
        <v>0</v>
      </c>
      <c r="BA251">
        <v>225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CX251">
        <f>Y251*Source!I487</f>
        <v>0</v>
      </c>
      <c r="CY251">
        <f>AA251</f>
        <v>110781.14</v>
      </c>
      <c r="CZ251">
        <f>AE251</f>
        <v>110781.14</v>
      </c>
      <c r="DA251">
        <f>AI251</f>
        <v>1</v>
      </c>
      <c r="DB251">
        <f>ROUND((ROUND(AT251*CZ251,2)*0),6)</f>
        <v>0</v>
      </c>
      <c r="DC251">
        <f>ROUND((ROUND(AT251*AG251,2)*0),6)</f>
        <v>0</v>
      </c>
    </row>
    <row r="252" spans="1:107" x14ac:dyDescent="0.2">
      <c r="A252">
        <f>ROW(Source!A487)</f>
        <v>487</v>
      </c>
      <c r="B252">
        <v>38799519</v>
      </c>
      <c r="C252">
        <v>38801196</v>
      </c>
      <c r="D252">
        <v>38469133</v>
      </c>
      <c r="E252">
        <v>1</v>
      </c>
      <c r="F252">
        <v>1</v>
      </c>
      <c r="G252">
        <v>27</v>
      </c>
      <c r="H252">
        <v>3</v>
      </c>
      <c r="I252" t="s">
        <v>526</v>
      </c>
      <c r="J252" t="s">
        <v>527</v>
      </c>
      <c r="K252" t="s">
        <v>528</v>
      </c>
      <c r="L252">
        <v>1348</v>
      </c>
      <c r="N252">
        <v>1009</v>
      </c>
      <c r="O252" t="s">
        <v>155</v>
      </c>
      <c r="P252" t="s">
        <v>155</v>
      </c>
      <c r="Q252">
        <v>1000</v>
      </c>
      <c r="W252">
        <v>0</v>
      </c>
      <c r="X252">
        <v>485376408</v>
      </c>
      <c r="Y252">
        <v>0</v>
      </c>
      <c r="AA252">
        <v>75026.559999999998</v>
      </c>
      <c r="AB252">
        <v>0</v>
      </c>
      <c r="AC252">
        <v>0</v>
      </c>
      <c r="AD252">
        <v>0</v>
      </c>
      <c r="AE252">
        <v>75026.559999999998</v>
      </c>
      <c r="AF252">
        <v>0</v>
      </c>
      <c r="AG252">
        <v>0</v>
      </c>
      <c r="AH252">
        <v>0</v>
      </c>
      <c r="AI252">
        <v>1</v>
      </c>
      <c r="AJ252">
        <v>1</v>
      </c>
      <c r="AK252">
        <v>1</v>
      </c>
      <c r="AL252">
        <v>1</v>
      </c>
      <c r="AN252">
        <v>0</v>
      </c>
      <c r="AO252">
        <v>1</v>
      </c>
      <c r="AP252">
        <v>1</v>
      </c>
      <c r="AQ252">
        <v>0</v>
      </c>
      <c r="AR252">
        <v>0</v>
      </c>
      <c r="AS252" t="s">
        <v>3</v>
      </c>
      <c r="AT252">
        <v>1</v>
      </c>
      <c r="AU252" t="s">
        <v>21</v>
      </c>
      <c r="AV252">
        <v>0</v>
      </c>
      <c r="AW252">
        <v>2</v>
      </c>
      <c r="AX252">
        <v>38801206</v>
      </c>
      <c r="AY252">
        <v>1</v>
      </c>
      <c r="AZ252">
        <v>0</v>
      </c>
      <c r="BA252">
        <v>226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CX252">
        <f>Y252*Source!I487</f>
        <v>0</v>
      </c>
      <c r="CY252">
        <f>AA252</f>
        <v>75026.559999999998</v>
      </c>
      <c r="CZ252">
        <f>AE252</f>
        <v>75026.559999999998</v>
      </c>
      <c r="DA252">
        <f>AI252</f>
        <v>1</v>
      </c>
      <c r="DB252">
        <f>ROUND((ROUND(AT252*CZ252,2)*0),6)</f>
        <v>0</v>
      </c>
      <c r="DC252">
        <f>ROUND((ROUND(AT252*AG252,2)*0),6)</f>
        <v>0</v>
      </c>
    </row>
    <row r="253" spans="1:107" x14ac:dyDescent="0.2">
      <c r="A253">
        <f>ROW(Source!A523)</f>
        <v>523</v>
      </c>
      <c r="B253">
        <v>38799519</v>
      </c>
      <c r="C253">
        <v>38801265</v>
      </c>
      <c r="D253">
        <v>38451941</v>
      </c>
      <c r="E253">
        <v>27</v>
      </c>
      <c r="F253">
        <v>1</v>
      </c>
      <c r="G253">
        <v>27</v>
      </c>
      <c r="H253">
        <v>1</v>
      </c>
      <c r="I253" t="s">
        <v>387</v>
      </c>
      <c r="J253" t="s">
        <v>3</v>
      </c>
      <c r="K253" t="s">
        <v>388</v>
      </c>
      <c r="L253">
        <v>1191</v>
      </c>
      <c r="N253">
        <v>1013</v>
      </c>
      <c r="O253" t="s">
        <v>389</v>
      </c>
      <c r="P253" t="s">
        <v>389</v>
      </c>
      <c r="Q253">
        <v>1</v>
      </c>
      <c r="W253">
        <v>0</v>
      </c>
      <c r="X253">
        <v>476480486</v>
      </c>
      <c r="Y253">
        <v>2.97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1</v>
      </c>
      <c r="AJ253">
        <v>1</v>
      </c>
      <c r="AK253">
        <v>1</v>
      </c>
      <c r="AL253">
        <v>1</v>
      </c>
      <c r="AN253">
        <v>0</v>
      </c>
      <c r="AO253">
        <v>1</v>
      </c>
      <c r="AP253">
        <v>0</v>
      </c>
      <c r="AQ253">
        <v>0</v>
      </c>
      <c r="AR253">
        <v>0</v>
      </c>
      <c r="AS253" t="s">
        <v>3</v>
      </c>
      <c r="AT253">
        <v>2.97</v>
      </c>
      <c r="AU253" t="s">
        <v>3</v>
      </c>
      <c r="AV253">
        <v>1</v>
      </c>
      <c r="AW253">
        <v>2</v>
      </c>
      <c r="AX253">
        <v>38801277</v>
      </c>
      <c r="AY253">
        <v>1</v>
      </c>
      <c r="AZ253">
        <v>0</v>
      </c>
      <c r="BA253">
        <v>227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CX253">
        <f>Y253*Source!I523</f>
        <v>1342.44</v>
      </c>
      <c r="CY253">
        <f>AD253</f>
        <v>0</v>
      </c>
      <c r="CZ253">
        <f>AH253</f>
        <v>0</v>
      </c>
      <c r="DA253">
        <f>AL253</f>
        <v>1</v>
      </c>
      <c r="DB253">
        <f t="shared" ref="DB253:DB284" si="25">ROUND(ROUND(AT253*CZ253,2),6)</f>
        <v>0</v>
      </c>
      <c r="DC253">
        <f t="shared" ref="DC253:DC284" si="26">ROUND(ROUND(AT253*AG253,2),6)</f>
        <v>0</v>
      </c>
    </row>
    <row r="254" spans="1:107" x14ac:dyDescent="0.2">
      <c r="A254">
        <f>ROW(Source!A523)</f>
        <v>523</v>
      </c>
      <c r="B254">
        <v>38799519</v>
      </c>
      <c r="C254">
        <v>38801265</v>
      </c>
      <c r="D254">
        <v>38464665</v>
      </c>
      <c r="E254">
        <v>1</v>
      </c>
      <c r="F254">
        <v>1</v>
      </c>
      <c r="G254">
        <v>27</v>
      </c>
      <c r="H254">
        <v>2</v>
      </c>
      <c r="I254" t="s">
        <v>586</v>
      </c>
      <c r="J254" t="s">
        <v>587</v>
      </c>
      <c r="K254" t="s">
        <v>588</v>
      </c>
      <c r="L254">
        <v>1368</v>
      </c>
      <c r="N254">
        <v>1011</v>
      </c>
      <c r="O254" t="s">
        <v>393</v>
      </c>
      <c r="P254" t="s">
        <v>393</v>
      </c>
      <c r="Q254">
        <v>1</v>
      </c>
      <c r="W254">
        <v>0</v>
      </c>
      <c r="X254">
        <v>-1425251094</v>
      </c>
      <c r="Y254">
        <v>0.38400000000000001</v>
      </c>
      <c r="AA254">
        <v>0</v>
      </c>
      <c r="AB254">
        <v>351.29</v>
      </c>
      <c r="AC254">
        <v>7.02</v>
      </c>
      <c r="AD254">
        <v>0</v>
      </c>
      <c r="AE254">
        <v>0</v>
      </c>
      <c r="AF254">
        <v>351.29</v>
      </c>
      <c r="AG254">
        <v>7.02</v>
      </c>
      <c r="AH254">
        <v>0</v>
      </c>
      <c r="AI254">
        <v>1</v>
      </c>
      <c r="AJ254">
        <v>1</v>
      </c>
      <c r="AK254">
        <v>1</v>
      </c>
      <c r="AL254">
        <v>1</v>
      </c>
      <c r="AN254">
        <v>0</v>
      </c>
      <c r="AO254">
        <v>1</v>
      </c>
      <c r="AP254">
        <v>0</v>
      </c>
      <c r="AQ254">
        <v>0</v>
      </c>
      <c r="AR254">
        <v>0</v>
      </c>
      <c r="AS254" t="s">
        <v>3</v>
      </c>
      <c r="AT254">
        <v>0.38400000000000001</v>
      </c>
      <c r="AU254" t="s">
        <v>3</v>
      </c>
      <c r="AV254">
        <v>0</v>
      </c>
      <c r="AW254">
        <v>2</v>
      </c>
      <c r="AX254">
        <v>38801278</v>
      </c>
      <c r="AY254">
        <v>1</v>
      </c>
      <c r="AZ254">
        <v>0</v>
      </c>
      <c r="BA254">
        <v>228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CX254">
        <f>Y254*Source!I523</f>
        <v>173.56800000000001</v>
      </c>
      <c r="CY254">
        <f>AB254</f>
        <v>351.29</v>
      </c>
      <c r="CZ254">
        <f>AF254</f>
        <v>351.29</v>
      </c>
      <c r="DA254">
        <f>AJ254</f>
        <v>1</v>
      </c>
      <c r="DB254">
        <f t="shared" si="25"/>
        <v>134.9</v>
      </c>
      <c r="DC254">
        <f t="shared" si="26"/>
        <v>2.7</v>
      </c>
    </row>
    <row r="255" spans="1:107" x14ac:dyDescent="0.2">
      <c r="A255">
        <f>ROW(Source!A523)</f>
        <v>523</v>
      </c>
      <c r="B255">
        <v>38799519</v>
      </c>
      <c r="C255">
        <v>38801265</v>
      </c>
      <c r="D255">
        <v>38465050</v>
      </c>
      <c r="E255">
        <v>1</v>
      </c>
      <c r="F255">
        <v>1</v>
      </c>
      <c r="G255">
        <v>27</v>
      </c>
      <c r="H255">
        <v>2</v>
      </c>
      <c r="I255" t="s">
        <v>502</v>
      </c>
      <c r="J255" t="s">
        <v>503</v>
      </c>
      <c r="K255" t="s">
        <v>504</v>
      </c>
      <c r="L255">
        <v>1368</v>
      </c>
      <c r="N255">
        <v>1011</v>
      </c>
      <c r="O255" t="s">
        <v>393</v>
      </c>
      <c r="P255" t="s">
        <v>393</v>
      </c>
      <c r="Q255">
        <v>1</v>
      </c>
      <c r="W255">
        <v>0</v>
      </c>
      <c r="X255">
        <v>-952080715</v>
      </c>
      <c r="Y255">
        <v>0.115</v>
      </c>
      <c r="AA255">
        <v>0</v>
      </c>
      <c r="AB255">
        <v>5.94</v>
      </c>
      <c r="AC255">
        <v>0.02</v>
      </c>
      <c r="AD255">
        <v>0</v>
      </c>
      <c r="AE255">
        <v>0</v>
      </c>
      <c r="AF255">
        <v>5.94</v>
      </c>
      <c r="AG255">
        <v>0.02</v>
      </c>
      <c r="AH255">
        <v>0</v>
      </c>
      <c r="AI255">
        <v>1</v>
      </c>
      <c r="AJ255">
        <v>1</v>
      </c>
      <c r="AK255">
        <v>1</v>
      </c>
      <c r="AL255">
        <v>1</v>
      </c>
      <c r="AN255">
        <v>0</v>
      </c>
      <c r="AO255">
        <v>1</v>
      </c>
      <c r="AP255">
        <v>0</v>
      </c>
      <c r="AQ255">
        <v>0</v>
      </c>
      <c r="AR255">
        <v>0</v>
      </c>
      <c r="AS255" t="s">
        <v>3</v>
      </c>
      <c r="AT255">
        <v>0.115</v>
      </c>
      <c r="AU255" t="s">
        <v>3</v>
      </c>
      <c r="AV255">
        <v>0</v>
      </c>
      <c r="AW255">
        <v>2</v>
      </c>
      <c r="AX255">
        <v>38801279</v>
      </c>
      <c r="AY255">
        <v>1</v>
      </c>
      <c r="AZ255">
        <v>0</v>
      </c>
      <c r="BA255">
        <v>229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CX255">
        <f>Y255*Source!I523</f>
        <v>51.980000000000004</v>
      </c>
      <c r="CY255">
        <f>AB255</f>
        <v>5.94</v>
      </c>
      <c r="CZ255">
        <f>AF255</f>
        <v>5.94</v>
      </c>
      <c r="DA255">
        <f>AJ255</f>
        <v>1</v>
      </c>
      <c r="DB255">
        <f t="shared" si="25"/>
        <v>0.68</v>
      </c>
      <c r="DC255">
        <f t="shared" si="26"/>
        <v>0</v>
      </c>
    </row>
    <row r="256" spans="1:107" x14ac:dyDescent="0.2">
      <c r="A256">
        <f>ROW(Source!A523)</f>
        <v>523</v>
      </c>
      <c r="B256">
        <v>38799519</v>
      </c>
      <c r="C256">
        <v>38801265</v>
      </c>
      <c r="D256">
        <v>38465073</v>
      </c>
      <c r="E256">
        <v>1</v>
      </c>
      <c r="F256">
        <v>1</v>
      </c>
      <c r="G256">
        <v>27</v>
      </c>
      <c r="H256">
        <v>2</v>
      </c>
      <c r="I256" t="s">
        <v>589</v>
      </c>
      <c r="J256" t="s">
        <v>590</v>
      </c>
      <c r="K256" t="s">
        <v>591</v>
      </c>
      <c r="L256">
        <v>1368</v>
      </c>
      <c r="N256">
        <v>1011</v>
      </c>
      <c r="O256" t="s">
        <v>393</v>
      </c>
      <c r="P256" t="s">
        <v>393</v>
      </c>
      <c r="Q256">
        <v>1</v>
      </c>
      <c r="W256">
        <v>0</v>
      </c>
      <c r="X256">
        <v>527566593</v>
      </c>
      <c r="Y256">
        <v>0.504</v>
      </c>
      <c r="AA256">
        <v>0</v>
      </c>
      <c r="AB256">
        <v>652.16</v>
      </c>
      <c r="AC256">
        <v>581.9</v>
      </c>
      <c r="AD256">
        <v>0</v>
      </c>
      <c r="AE256">
        <v>0</v>
      </c>
      <c r="AF256">
        <v>652.16</v>
      </c>
      <c r="AG256">
        <v>581.9</v>
      </c>
      <c r="AH256">
        <v>0</v>
      </c>
      <c r="AI256">
        <v>1</v>
      </c>
      <c r="AJ256">
        <v>1</v>
      </c>
      <c r="AK256">
        <v>1</v>
      </c>
      <c r="AL256">
        <v>1</v>
      </c>
      <c r="AN256">
        <v>0</v>
      </c>
      <c r="AO256">
        <v>1</v>
      </c>
      <c r="AP256">
        <v>0</v>
      </c>
      <c r="AQ256">
        <v>0</v>
      </c>
      <c r="AR256">
        <v>0</v>
      </c>
      <c r="AS256" t="s">
        <v>3</v>
      </c>
      <c r="AT256">
        <v>0.504</v>
      </c>
      <c r="AU256" t="s">
        <v>3</v>
      </c>
      <c r="AV256">
        <v>0</v>
      </c>
      <c r="AW256">
        <v>2</v>
      </c>
      <c r="AX256">
        <v>38801280</v>
      </c>
      <c r="AY256">
        <v>1</v>
      </c>
      <c r="AZ256">
        <v>0</v>
      </c>
      <c r="BA256">
        <v>230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CX256">
        <f>Y256*Source!I523</f>
        <v>227.80799999999999</v>
      </c>
      <c r="CY256">
        <f>AB256</f>
        <v>652.16</v>
      </c>
      <c r="CZ256">
        <f>AF256</f>
        <v>652.16</v>
      </c>
      <c r="DA256">
        <f>AJ256</f>
        <v>1</v>
      </c>
      <c r="DB256">
        <f t="shared" si="25"/>
        <v>328.69</v>
      </c>
      <c r="DC256">
        <f t="shared" si="26"/>
        <v>293.27999999999997</v>
      </c>
    </row>
    <row r="257" spans="1:107" x14ac:dyDescent="0.2">
      <c r="A257">
        <f>ROW(Source!A523)</f>
        <v>523</v>
      </c>
      <c r="B257">
        <v>38799519</v>
      </c>
      <c r="C257">
        <v>38801265</v>
      </c>
      <c r="D257">
        <v>38466030</v>
      </c>
      <c r="E257">
        <v>1</v>
      </c>
      <c r="F257">
        <v>1</v>
      </c>
      <c r="G257">
        <v>27</v>
      </c>
      <c r="H257">
        <v>3</v>
      </c>
      <c r="I257" t="s">
        <v>592</v>
      </c>
      <c r="J257" t="s">
        <v>593</v>
      </c>
      <c r="K257" t="s">
        <v>594</v>
      </c>
      <c r="L257">
        <v>1348</v>
      </c>
      <c r="N257">
        <v>1009</v>
      </c>
      <c r="O257" t="s">
        <v>155</v>
      </c>
      <c r="P257" t="s">
        <v>155</v>
      </c>
      <c r="Q257">
        <v>1000</v>
      </c>
      <c r="W257">
        <v>0</v>
      </c>
      <c r="X257">
        <v>950604455</v>
      </c>
      <c r="Y257">
        <v>1.01E-3</v>
      </c>
      <c r="AA257">
        <v>38268.54</v>
      </c>
      <c r="AB257">
        <v>0</v>
      </c>
      <c r="AC257">
        <v>0</v>
      </c>
      <c r="AD257">
        <v>0</v>
      </c>
      <c r="AE257">
        <v>38268.54</v>
      </c>
      <c r="AF257">
        <v>0</v>
      </c>
      <c r="AG257">
        <v>0</v>
      </c>
      <c r="AH257">
        <v>0</v>
      </c>
      <c r="AI257">
        <v>1</v>
      </c>
      <c r="AJ257">
        <v>1</v>
      </c>
      <c r="AK257">
        <v>1</v>
      </c>
      <c r="AL257">
        <v>1</v>
      </c>
      <c r="AN257">
        <v>0</v>
      </c>
      <c r="AO257">
        <v>1</v>
      </c>
      <c r="AP257">
        <v>0</v>
      </c>
      <c r="AQ257">
        <v>0</v>
      </c>
      <c r="AR257">
        <v>0</v>
      </c>
      <c r="AS257" t="s">
        <v>3</v>
      </c>
      <c r="AT257">
        <v>1.01E-3</v>
      </c>
      <c r="AU257" t="s">
        <v>3</v>
      </c>
      <c r="AV257">
        <v>0</v>
      </c>
      <c r="AW257">
        <v>2</v>
      </c>
      <c r="AX257">
        <v>38801281</v>
      </c>
      <c r="AY257">
        <v>1</v>
      </c>
      <c r="AZ257">
        <v>0</v>
      </c>
      <c r="BA257">
        <v>231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CX257">
        <f>Y257*Source!I523</f>
        <v>0.45652000000000004</v>
      </c>
      <c r="CY257">
        <f t="shared" ref="CY257:CY263" si="27">AA257</f>
        <v>38268.54</v>
      </c>
      <c r="CZ257">
        <f t="shared" ref="CZ257:CZ263" si="28">AE257</f>
        <v>38268.54</v>
      </c>
      <c r="DA257">
        <f t="shared" ref="DA257:DA263" si="29">AI257</f>
        <v>1</v>
      </c>
      <c r="DB257">
        <f t="shared" si="25"/>
        <v>38.65</v>
      </c>
      <c r="DC257">
        <f t="shared" si="26"/>
        <v>0</v>
      </c>
    </row>
    <row r="258" spans="1:107" x14ac:dyDescent="0.2">
      <c r="A258">
        <f>ROW(Source!A523)</f>
        <v>523</v>
      </c>
      <c r="B258">
        <v>38799519</v>
      </c>
      <c r="C258">
        <v>38801265</v>
      </c>
      <c r="D258">
        <v>38465888</v>
      </c>
      <c r="E258">
        <v>1</v>
      </c>
      <c r="F258">
        <v>1</v>
      </c>
      <c r="G258">
        <v>27</v>
      </c>
      <c r="H258">
        <v>3</v>
      </c>
      <c r="I258" t="s">
        <v>292</v>
      </c>
      <c r="J258" t="s">
        <v>294</v>
      </c>
      <c r="K258" t="s">
        <v>293</v>
      </c>
      <c r="L258">
        <v>1348</v>
      </c>
      <c r="N258">
        <v>1009</v>
      </c>
      <c r="O258" t="s">
        <v>155</v>
      </c>
      <c r="P258" t="s">
        <v>155</v>
      </c>
      <c r="Q258">
        <v>1000</v>
      </c>
      <c r="W258">
        <v>0</v>
      </c>
      <c r="X258">
        <v>609371884</v>
      </c>
      <c r="Y258">
        <v>0.14899999999999999</v>
      </c>
      <c r="AA258">
        <v>37537.54</v>
      </c>
      <c r="AB258">
        <v>0</v>
      </c>
      <c r="AC258">
        <v>0</v>
      </c>
      <c r="AD258">
        <v>0</v>
      </c>
      <c r="AE258">
        <v>37537.54</v>
      </c>
      <c r="AF258">
        <v>0</v>
      </c>
      <c r="AG258">
        <v>0</v>
      </c>
      <c r="AH258">
        <v>0</v>
      </c>
      <c r="AI258">
        <v>1</v>
      </c>
      <c r="AJ258">
        <v>1</v>
      </c>
      <c r="AK258">
        <v>1</v>
      </c>
      <c r="AL258">
        <v>1</v>
      </c>
      <c r="AN258">
        <v>0</v>
      </c>
      <c r="AO258">
        <v>1</v>
      </c>
      <c r="AP258">
        <v>0</v>
      </c>
      <c r="AQ258">
        <v>0</v>
      </c>
      <c r="AR258">
        <v>0</v>
      </c>
      <c r="AS258" t="s">
        <v>3</v>
      </c>
      <c r="AT258">
        <v>0.14899999999999999</v>
      </c>
      <c r="AU258" t="s">
        <v>3</v>
      </c>
      <c r="AV258">
        <v>0</v>
      </c>
      <c r="AW258">
        <v>2</v>
      </c>
      <c r="AX258">
        <v>38801282</v>
      </c>
      <c r="AY258">
        <v>1</v>
      </c>
      <c r="AZ258">
        <v>0</v>
      </c>
      <c r="BA258">
        <v>232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CX258">
        <f>Y258*Source!I523</f>
        <v>67.347999999999999</v>
      </c>
      <c r="CY258">
        <f t="shared" si="27"/>
        <v>37537.54</v>
      </c>
      <c r="CZ258">
        <f t="shared" si="28"/>
        <v>37537.54</v>
      </c>
      <c r="DA258">
        <f t="shared" si="29"/>
        <v>1</v>
      </c>
      <c r="DB258">
        <f t="shared" si="25"/>
        <v>5593.09</v>
      </c>
      <c r="DC258">
        <f t="shared" si="26"/>
        <v>0</v>
      </c>
    </row>
    <row r="259" spans="1:107" x14ac:dyDescent="0.2">
      <c r="A259">
        <f>ROW(Source!A523)</f>
        <v>523</v>
      </c>
      <c r="B259">
        <v>38799519</v>
      </c>
      <c r="C259">
        <v>38801265</v>
      </c>
      <c r="D259">
        <v>38465888</v>
      </c>
      <c r="E259">
        <v>1</v>
      </c>
      <c r="F259">
        <v>1</v>
      </c>
      <c r="G259">
        <v>27</v>
      </c>
      <c r="H259">
        <v>3</v>
      </c>
      <c r="I259" t="s">
        <v>292</v>
      </c>
      <c r="J259" t="s">
        <v>294</v>
      </c>
      <c r="K259" t="s">
        <v>293</v>
      </c>
      <c r="L259">
        <v>1348</v>
      </c>
      <c r="N259">
        <v>1009</v>
      </c>
      <c r="O259" t="s">
        <v>155</v>
      </c>
      <c r="P259" t="s">
        <v>155</v>
      </c>
      <c r="Q259">
        <v>1000</v>
      </c>
      <c r="W259">
        <v>0</v>
      </c>
      <c r="X259">
        <v>609371884</v>
      </c>
      <c r="Y259">
        <v>-0.14899999999999999</v>
      </c>
      <c r="AA259">
        <v>37537.54</v>
      </c>
      <c r="AB259">
        <v>0</v>
      </c>
      <c r="AC259">
        <v>0</v>
      </c>
      <c r="AD259">
        <v>0</v>
      </c>
      <c r="AE259">
        <v>37537.54</v>
      </c>
      <c r="AF259">
        <v>0</v>
      </c>
      <c r="AG259">
        <v>0</v>
      </c>
      <c r="AH259">
        <v>0</v>
      </c>
      <c r="AI259">
        <v>1</v>
      </c>
      <c r="AJ259">
        <v>1</v>
      </c>
      <c r="AK259">
        <v>1</v>
      </c>
      <c r="AL259">
        <v>1</v>
      </c>
      <c r="AN259">
        <v>0</v>
      </c>
      <c r="AO259">
        <v>0</v>
      </c>
      <c r="AP259">
        <v>0</v>
      </c>
      <c r="AQ259">
        <v>0</v>
      </c>
      <c r="AR259">
        <v>0</v>
      </c>
      <c r="AS259" t="s">
        <v>3</v>
      </c>
      <c r="AT259">
        <v>-0.14899999999999999</v>
      </c>
      <c r="AU259" t="s">
        <v>3</v>
      </c>
      <c r="AV259">
        <v>0</v>
      </c>
      <c r="AW259">
        <v>1</v>
      </c>
      <c r="AX259">
        <v>-1</v>
      </c>
      <c r="AY259">
        <v>0</v>
      </c>
      <c r="AZ259">
        <v>0</v>
      </c>
      <c r="BA259" t="s">
        <v>3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CX259">
        <f>Y259*Source!I523</f>
        <v>-67.347999999999999</v>
      </c>
      <c r="CY259">
        <f t="shared" si="27"/>
        <v>37537.54</v>
      </c>
      <c r="CZ259">
        <f t="shared" si="28"/>
        <v>37537.54</v>
      </c>
      <c r="DA259">
        <f t="shared" si="29"/>
        <v>1</v>
      </c>
      <c r="DB259">
        <f t="shared" si="25"/>
        <v>-5593.09</v>
      </c>
      <c r="DC259">
        <f t="shared" si="26"/>
        <v>0</v>
      </c>
    </row>
    <row r="260" spans="1:107" x14ac:dyDescent="0.2">
      <c r="A260">
        <f>ROW(Source!A523)</f>
        <v>523</v>
      </c>
      <c r="B260">
        <v>38799519</v>
      </c>
      <c r="C260">
        <v>38801265</v>
      </c>
      <c r="D260">
        <v>38465894</v>
      </c>
      <c r="E260">
        <v>1</v>
      </c>
      <c r="F260">
        <v>1</v>
      </c>
      <c r="G260">
        <v>27</v>
      </c>
      <c r="H260">
        <v>3</v>
      </c>
      <c r="I260" t="s">
        <v>300</v>
      </c>
      <c r="J260" t="s">
        <v>302</v>
      </c>
      <c r="K260" t="s">
        <v>301</v>
      </c>
      <c r="L260">
        <v>1348</v>
      </c>
      <c r="N260">
        <v>1009</v>
      </c>
      <c r="O260" t="s">
        <v>155</v>
      </c>
      <c r="P260" t="s">
        <v>155</v>
      </c>
      <c r="Q260">
        <v>1000</v>
      </c>
      <c r="W260">
        <v>0</v>
      </c>
      <c r="X260">
        <v>771913238</v>
      </c>
      <c r="Y260">
        <v>5.9540000000000001E-3</v>
      </c>
      <c r="AA260">
        <v>40597.550000000003</v>
      </c>
      <c r="AB260">
        <v>0</v>
      </c>
      <c r="AC260">
        <v>0</v>
      </c>
      <c r="AD260">
        <v>0</v>
      </c>
      <c r="AE260">
        <v>40597.550000000003</v>
      </c>
      <c r="AF260">
        <v>0</v>
      </c>
      <c r="AG260">
        <v>0</v>
      </c>
      <c r="AH260">
        <v>0</v>
      </c>
      <c r="AI260">
        <v>1</v>
      </c>
      <c r="AJ260">
        <v>1</v>
      </c>
      <c r="AK260">
        <v>1</v>
      </c>
      <c r="AL260">
        <v>1</v>
      </c>
      <c r="AN260">
        <v>0</v>
      </c>
      <c r="AO260">
        <v>0</v>
      </c>
      <c r="AP260">
        <v>0</v>
      </c>
      <c r="AQ260">
        <v>0</v>
      </c>
      <c r="AR260">
        <v>0</v>
      </c>
      <c r="AS260" t="s">
        <v>3</v>
      </c>
      <c r="AT260">
        <v>5.9540000000000001E-3</v>
      </c>
      <c r="AU260" t="s">
        <v>3</v>
      </c>
      <c r="AV260">
        <v>0</v>
      </c>
      <c r="AW260">
        <v>1</v>
      </c>
      <c r="AX260">
        <v>-1</v>
      </c>
      <c r="AY260">
        <v>0</v>
      </c>
      <c r="AZ260">
        <v>0</v>
      </c>
      <c r="BA260" t="s">
        <v>3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CX260">
        <f>Y260*Source!I523</f>
        <v>2.691208</v>
      </c>
      <c r="CY260">
        <f t="shared" si="27"/>
        <v>40597.550000000003</v>
      </c>
      <c r="CZ260">
        <f t="shared" si="28"/>
        <v>40597.550000000003</v>
      </c>
      <c r="DA260">
        <f t="shared" si="29"/>
        <v>1</v>
      </c>
      <c r="DB260">
        <f t="shared" si="25"/>
        <v>241.72</v>
      </c>
      <c r="DC260">
        <f t="shared" si="26"/>
        <v>0</v>
      </c>
    </row>
    <row r="261" spans="1:107" x14ac:dyDescent="0.2">
      <c r="A261">
        <f>ROW(Source!A523)</f>
        <v>523</v>
      </c>
      <c r="B261">
        <v>38799519</v>
      </c>
      <c r="C261">
        <v>38801265</v>
      </c>
      <c r="D261">
        <v>38465929</v>
      </c>
      <c r="E261">
        <v>1</v>
      </c>
      <c r="F261">
        <v>1</v>
      </c>
      <c r="G261">
        <v>27</v>
      </c>
      <c r="H261">
        <v>3</v>
      </c>
      <c r="I261" t="s">
        <v>296</v>
      </c>
      <c r="J261" t="s">
        <v>298</v>
      </c>
      <c r="K261" t="s">
        <v>297</v>
      </c>
      <c r="L261">
        <v>1348</v>
      </c>
      <c r="N261">
        <v>1009</v>
      </c>
      <c r="O261" t="s">
        <v>155</v>
      </c>
      <c r="P261" t="s">
        <v>155</v>
      </c>
      <c r="Q261">
        <v>1000</v>
      </c>
      <c r="W261">
        <v>0</v>
      </c>
      <c r="X261">
        <v>-1866178365</v>
      </c>
      <c r="Y261">
        <v>4.0969999999999999E-3</v>
      </c>
      <c r="AA261">
        <v>39110.050000000003</v>
      </c>
      <c r="AB261">
        <v>0</v>
      </c>
      <c r="AC261">
        <v>0</v>
      </c>
      <c r="AD261">
        <v>0</v>
      </c>
      <c r="AE261">
        <v>39110.050000000003</v>
      </c>
      <c r="AF261">
        <v>0</v>
      </c>
      <c r="AG261">
        <v>0</v>
      </c>
      <c r="AH261">
        <v>0</v>
      </c>
      <c r="AI261">
        <v>1</v>
      </c>
      <c r="AJ261">
        <v>1</v>
      </c>
      <c r="AK261">
        <v>1</v>
      </c>
      <c r="AL261">
        <v>1</v>
      </c>
      <c r="AN261">
        <v>0</v>
      </c>
      <c r="AO261">
        <v>0</v>
      </c>
      <c r="AP261">
        <v>0</v>
      </c>
      <c r="AQ261">
        <v>0</v>
      </c>
      <c r="AR261">
        <v>0</v>
      </c>
      <c r="AS261" t="s">
        <v>3</v>
      </c>
      <c r="AT261">
        <v>4.0969999999999999E-3</v>
      </c>
      <c r="AU261" t="s">
        <v>3</v>
      </c>
      <c r="AV261">
        <v>0</v>
      </c>
      <c r="AW261">
        <v>1</v>
      </c>
      <c r="AX261">
        <v>-1</v>
      </c>
      <c r="AY261">
        <v>0</v>
      </c>
      <c r="AZ261">
        <v>0</v>
      </c>
      <c r="BA261" t="s">
        <v>3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CX261">
        <f>Y261*Source!I523</f>
        <v>1.851844</v>
      </c>
      <c r="CY261">
        <f t="shared" si="27"/>
        <v>39110.050000000003</v>
      </c>
      <c r="CZ261">
        <f t="shared" si="28"/>
        <v>39110.050000000003</v>
      </c>
      <c r="DA261">
        <f t="shared" si="29"/>
        <v>1</v>
      </c>
      <c r="DB261">
        <f t="shared" si="25"/>
        <v>160.22999999999999</v>
      </c>
      <c r="DC261">
        <f t="shared" si="26"/>
        <v>0</v>
      </c>
    </row>
    <row r="262" spans="1:107" x14ac:dyDescent="0.2">
      <c r="A262">
        <f>ROW(Source!A523)</f>
        <v>523</v>
      </c>
      <c r="B262">
        <v>38799519</v>
      </c>
      <c r="C262">
        <v>38801265</v>
      </c>
      <c r="D262">
        <v>38467018</v>
      </c>
      <c r="E262">
        <v>1</v>
      </c>
      <c r="F262">
        <v>1</v>
      </c>
      <c r="G262">
        <v>27</v>
      </c>
      <c r="H262">
        <v>3</v>
      </c>
      <c r="I262" t="s">
        <v>496</v>
      </c>
      <c r="J262" t="s">
        <v>497</v>
      </c>
      <c r="K262" t="s">
        <v>498</v>
      </c>
      <c r="L262">
        <v>1348</v>
      </c>
      <c r="N262">
        <v>1009</v>
      </c>
      <c r="O262" t="s">
        <v>155</v>
      </c>
      <c r="P262" t="s">
        <v>155</v>
      </c>
      <c r="Q262">
        <v>1000</v>
      </c>
      <c r="W262">
        <v>0</v>
      </c>
      <c r="X262">
        <v>-941081254</v>
      </c>
      <c r="Y262">
        <v>5.0000000000000001E-4</v>
      </c>
      <c r="AA262">
        <v>110781.14</v>
      </c>
      <c r="AB262">
        <v>0</v>
      </c>
      <c r="AC262">
        <v>0</v>
      </c>
      <c r="AD262">
        <v>0</v>
      </c>
      <c r="AE262">
        <v>110781.14</v>
      </c>
      <c r="AF262">
        <v>0</v>
      </c>
      <c r="AG262">
        <v>0</v>
      </c>
      <c r="AH262">
        <v>0</v>
      </c>
      <c r="AI262">
        <v>1</v>
      </c>
      <c r="AJ262">
        <v>1</v>
      </c>
      <c r="AK262">
        <v>1</v>
      </c>
      <c r="AL262">
        <v>1</v>
      </c>
      <c r="AN262">
        <v>0</v>
      </c>
      <c r="AO262">
        <v>1</v>
      </c>
      <c r="AP262">
        <v>0</v>
      </c>
      <c r="AQ262">
        <v>0</v>
      </c>
      <c r="AR262">
        <v>0</v>
      </c>
      <c r="AS262" t="s">
        <v>3</v>
      </c>
      <c r="AT262">
        <v>5.0000000000000001E-4</v>
      </c>
      <c r="AU262" t="s">
        <v>3</v>
      </c>
      <c r="AV262">
        <v>0</v>
      </c>
      <c r="AW262">
        <v>2</v>
      </c>
      <c r="AX262">
        <v>38801283</v>
      </c>
      <c r="AY262">
        <v>1</v>
      </c>
      <c r="AZ262">
        <v>0</v>
      </c>
      <c r="BA262">
        <v>233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CX262">
        <f>Y262*Source!I523</f>
        <v>0.22600000000000001</v>
      </c>
      <c r="CY262">
        <f t="shared" si="27"/>
        <v>110781.14</v>
      </c>
      <c r="CZ262">
        <f t="shared" si="28"/>
        <v>110781.14</v>
      </c>
      <c r="DA262">
        <f t="shared" si="29"/>
        <v>1</v>
      </c>
      <c r="DB262">
        <f t="shared" si="25"/>
        <v>55.39</v>
      </c>
      <c r="DC262">
        <f t="shared" si="26"/>
        <v>0</v>
      </c>
    </row>
    <row r="263" spans="1:107" x14ac:dyDescent="0.2">
      <c r="A263">
        <f>ROW(Source!A523)</f>
        <v>523</v>
      </c>
      <c r="B263">
        <v>38799519</v>
      </c>
      <c r="C263">
        <v>38801265</v>
      </c>
      <c r="D263">
        <v>38469339</v>
      </c>
      <c r="E263">
        <v>1</v>
      </c>
      <c r="F263">
        <v>1</v>
      </c>
      <c r="G263">
        <v>27</v>
      </c>
      <c r="H263">
        <v>3</v>
      </c>
      <c r="I263" t="s">
        <v>595</v>
      </c>
      <c r="J263" t="s">
        <v>596</v>
      </c>
      <c r="K263" t="s">
        <v>597</v>
      </c>
      <c r="L263">
        <v>1354</v>
      </c>
      <c r="N263">
        <v>1010</v>
      </c>
      <c r="O263" t="s">
        <v>198</v>
      </c>
      <c r="P263" t="s">
        <v>198</v>
      </c>
      <c r="Q263">
        <v>1</v>
      </c>
      <c r="W263">
        <v>0</v>
      </c>
      <c r="X263">
        <v>1030269180</v>
      </c>
      <c r="Y263">
        <v>1.4E-2</v>
      </c>
      <c r="AA263">
        <v>16.54</v>
      </c>
      <c r="AB263">
        <v>0</v>
      </c>
      <c r="AC263">
        <v>0</v>
      </c>
      <c r="AD263">
        <v>0</v>
      </c>
      <c r="AE263">
        <v>16.54</v>
      </c>
      <c r="AF263">
        <v>0</v>
      </c>
      <c r="AG263">
        <v>0</v>
      </c>
      <c r="AH263">
        <v>0</v>
      </c>
      <c r="AI263">
        <v>1</v>
      </c>
      <c r="AJ263">
        <v>1</v>
      </c>
      <c r="AK263">
        <v>1</v>
      </c>
      <c r="AL263">
        <v>1</v>
      </c>
      <c r="AN263">
        <v>0</v>
      </c>
      <c r="AO263">
        <v>1</v>
      </c>
      <c r="AP263">
        <v>0</v>
      </c>
      <c r="AQ263">
        <v>0</v>
      </c>
      <c r="AR263">
        <v>0</v>
      </c>
      <c r="AS263" t="s">
        <v>3</v>
      </c>
      <c r="AT263">
        <v>1.4E-2</v>
      </c>
      <c r="AU263" t="s">
        <v>3</v>
      </c>
      <c r="AV263">
        <v>0</v>
      </c>
      <c r="AW263">
        <v>2</v>
      </c>
      <c r="AX263">
        <v>38801284</v>
      </c>
      <c r="AY263">
        <v>1</v>
      </c>
      <c r="AZ263">
        <v>0</v>
      </c>
      <c r="BA263">
        <v>234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CX263">
        <f>Y263*Source!I523</f>
        <v>6.3280000000000003</v>
      </c>
      <c r="CY263">
        <f t="shared" si="27"/>
        <v>16.54</v>
      </c>
      <c r="CZ263">
        <f t="shared" si="28"/>
        <v>16.54</v>
      </c>
      <c r="DA263">
        <f t="shared" si="29"/>
        <v>1</v>
      </c>
      <c r="DB263">
        <f t="shared" si="25"/>
        <v>0.23</v>
      </c>
      <c r="DC263">
        <f t="shared" si="26"/>
        <v>0</v>
      </c>
    </row>
    <row r="264" spans="1:107" x14ac:dyDescent="0.2">
      <c r="A264">
        <f>ROW(Source!A527)</f>
        <v>527</v>
      </c>
      <c r="B264">
        <v>38799519</v>
      </c>
      <c r="C264">
        <v>38801288</v>
      </c>
      <c r="D264">
        <v>38451941</v>
      </c>
      <c r="E264">
        <v>27</v>
      </c>
      <c r="F264">
        <v>1</v>
      </c>
      <c r="G264">
        <v>27</v>
      </c>
      <c r="H264">
        <v>1</v>
      </c>
      <c r="I264" t="s">
        <v>387</v>
      </c>
      <c r="J264" t="s">
        <v>3</v>
      </c>
      <c r="K264" t="s">
        <v>388</v>
      </c>
      <c r="L264">
        <v>1191</v>
      </c>
      <c r="N264">
        <v>1013</v>
      </c>
      <c r="O264" t="s">
        <v>389</v>
      </c>
      <c r="P264" t="s">
        <v>389</v>
      </c>
      <c r="Q264">
        <v>1</v>
      </c>
      <c r="W264">
        <v>0</v>
      </c>
      <c r="X264">
        <v>476480486</v>
      </c>
      <c r="Y264">
        <v>2.38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</v>
      </c>
      <c r="AJ264">
        <v>1</v>
      </c>
      <c r="AK264">
        <v>1</v>
      </c>
      <c r="AL264">
        <v>1</v>
      </c>
      <c r="AN264">
        <v>0</v>
      </c>
      <c r="AO264">
        <v>1</v>
      </c>
      <c r="AP264">
        <v>0</v>
      </c>
      <c r="AQ264">
        <v>0</v>
      </c>
      <c r="AR264">
        <v>0</v>
      </c>
      <c r="AS264" t="s">
        <v>3</v>
      </c>
      <c r="AT264">
        <v>2.38</v>
      </c>
      <c r="AU264" t="s">
        <v>3</v>
      </c>
      <c r="AV264">
        <v>1</v>
      </c>
      <c r="AW264">
        <v>2</v>
      </c>
      <c r="AX264">
        <v>38801306</v>
      </c>
      <c r="AY264">
        <v>1</v>
      </c>
      <c r="AZ264">
        <v>0</v>
      </c>
      <c r="BA264">
        <v>235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CX264">
        <f>Y264*Source!I527</f>
        <v>145.18</v>
      </c>
      <c r="CY264">
        <f>AD264</f>
        <v>0</v>
      </c>
      <c r="CZ264">
        <f>AH264</f>
        <v>0</v>
      </c>
      <c r="DA264">
        <f>AL264</f>
        <v>1</v>
      </c>
      <c r="DB264">
        <f t="shared" si="25"/>
        <v>0</v>
      </c>
      <c r="DC264">
        <f t="shared" si="26"/>
        <v>0</v>
      </c>
    </row>
    <row r="265" spans="1:107" x14ac:dyDescent="0.2">
      <c r="A265">
        <f>ROW(Source!A527)</f>
        <v>527</v>
      </c>
      <c r="B265">
        <v>38799519</v>
      </c>
      <c r="C265">
        <v>38801288</v>
      </c>
      <c r="D265">
        <v>38464666</v>
      </c>
      <c r="E265">
        <v>1</v>
      </c>
      <c r="F265">
        <v>1</v>
      </c>
      <c r="G265">
        <v>27</v>
      </c>
      <c r="H265">
        <v>2</v>
      </c>
      <c r="I265" t="s">
        <v>499</v>
      </c>
      <c r="J265" t="s">
        <v>500</v>
      </c>
      <c r="K265" t="s">
        <v>501</v>
      </c>
      <c r="L265">
        <v>1368</v>
      </c>
      <c r="N265">
        <v>1011</v>
      </c>
      <c r="O265" t="s">
        <v>393</v>
      </c>
      <c r="P265" t="s">
        <v>393</v>
      </c>
      <c r="Q265">
        <v>1</v>
      </c>
      <c r="W265">
        <v>0</v>
      </c>
      <c r="X265">
        <v>1013184309</v>
      </c>
      <c r="Y265">
        <v>0.159</v>
      </c>
      <c r="AA265">
        <v>0</v>
      </c>
      <c r="AB265">
        <v>6.29</v>
      </c>
      <c r="AC265">
        <v>0.14000000000000001</v>
      </c>
      <c r="AD265">
        <v>0</v>
      </c>
      <c r="AE265">
        <v>0</v>
      </c>
      <c r="AF265">
        <v>6.29</v>
      </c>
      <c r="AG265">
        <v>0.14000000000000001</v>
      </c>
      <c r="AH265">
        <v>0</v>
      </c>
      <c r="AI265">
        <v>1</v>
      </c>
      <c r="AJ265">
        <v>1</v>
      </c>
      <c r="AK265">
        <v>1</v>
      </c>
      <c r="AL265">
        <v>1</v>
      </c>
      <c r="AN265">
        <v>0</v>
      </c>
      <c r="AO265">
        <v>1</v>
      </c>
      <c r="AP265">
        <v>0</v>
      </c>
      <c r="AQ265">
        <v>0</v>
      </c>
      <c r="AR265">
        <v>0</v>
      </c>
      <c r="AS265" t="s">
        <v>3</v>
      </c>
      <c r="AT265">
        <v>0.159</v>
      </c>
      <c r="AU265" t="s">
        <v>3</v>
      </c>
      <c r="AV265">
        <v>0</v>
      </c>
      <c r="AW265">
        <v>2</v>
      </c>
      <c r="AX265">
        <v>38801307</v>
      </c>
      <c r="AY265">
        <v>1</v>
      </c>
      <c r="AZ265">
        <v>0</v>
      </c>
      <c r="BA265">
        <v>236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CX265">
        <f>Y265*Source!I527</f>
        <v>9.6989999999999998</v>
      </c>
      <c r="CY265">
        <f>AB265</f>
        <v>6.29</v>
      </c>
      <c r="CZ265">
        <f>AF265</f>
        <v>6.29</v>
      </c>
      <c r="DA265">
        <f>AJ265</f>
        <v>1</v>
      </c>
      <c r="DB265">
        <f t="shared" si="25"/>
        <v>1</v>
      </c>
      <c r="DC265">
        <f t="shared" si="26"/>
        <v>0.02</v>
      </c>
    </row>
    <row r="266" spans="1:107" x14ac:dyDescent="0.2">
      <c r="A266">
        <f>ROW(Source!A527)</f>
        <v>527</v>
      </c>
      <c r="B266">
        <v>38799519</v>
      </c>
      <c r="C266">
        <v>38801288</v>
      </c>
      <c r="D266">
        <v>38465050</v>
      </c>
      <c r="E266">
        <v>1</v>
      </c>
      <c r="F266">
        <v>1</v>
      </c>
      <c r="G266">
        <v>27</v>
      </c>
      <c r="H266">
        <v>2</v>
      </c>
      <c r="I266" t="s">
        <v>502</v>
      </c>
      <c r="J266" t="s">
        <v>503</v>
      </c>
      <c r="K266" t="s">
        <v>504</v>
      </c>
      <c r="L266">
        <v>1368</v>
      </c>
      <c r="N266">
        <v>1011</v>
      </c>
      <c r="O266" t="s">
        <v>393</v>
      </c>
      <c r="P266" t="s">
        <v>393</v>
      </c>
      <c r="Q266">
        <v>1</v>
      </c>
      <c r="W266">
        <v>0</v>
      </c>
      <c r="X266">
        <v>-952080715</v>
      </c>
      <c r="Y266">
        <v>8.0000000000000002E-3</v>
      </c>
      <c r="AA266">
        <v>0</v>
      </c>
      <c r="AB266">
        <v>5.94</v>
      </c>
      <c r="AC266">
        <v>0.02</v>
      </c>
      <c r="AD266">
        <v>0</v>
      </c>
      <c r="AE266">
        <v>0</v>
      </c>
      <c r="AF266">
        <v>5.94</v>
      </c>
      <c r="AG266">
        <v>0.02</v>
      </c>
      <c r="AH266">
        <v>0</v>
      </c>
      <c r="AI266">
        <v>1</v>
      </c>
      <c r="AJ266">
        <v>1</v>
      </c>
      <c r="AK266">
        <v>1</v>
      </c>
      <c r="AL266">
        <v>1</v>
      </c>
      <c r="AN266">
        <v>0</v>
      </c>
      <c r="AO266">
        <v>1</v>
      </c>
      <c r="AP266">
        <v>0</v>
      </c>
      <c r="AQ266">
        <v>0</v>
      </c>
      <c r="AR266">
        <v>0</v>
      </c>
      <c r="AS266" t="s">
        <v>3</v>
      </c>
      <c r="AT266">
        <v>8.0000000000000002E-3</v>
      </c>
      <c r="AU266" t="s">
        <v>3</v>
      </c>
      <c r="AV266">
        <v>0</v>
      </c>
      <c r="AW266">
        <v>2</v>
      </c>
      <c r="AX266">
        <v>38801308</v>
      </c>
      <c r="AY266">
        <v>1</v>
      </c>
      <c r="AZ266">
        <v>0</v>
      </c>
      <c r="BA266">
        <v>237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CX266">
        <f>Y266*Source!I527</f>
        <v>0.48799999999999999</v>
      </c>
      <c r="CY266">
        <f>AB266</f>
        <v>5.94</v>
      </c>
      <c r="CZ266">
        <f>AF266</f>
        <v>5.94</v>
      </c>
      <c r="DA266">
        <f>AJ266</f>
        <v>1</v>
      </c>
      <c r="DB266">
        <f t="shared" si="25"/>
        <v>0.05</v>
      </c>
      <c r="DC266">
        <f t="shared" si="26"/>
        <v>0</v>
      </c>
    </row>
    <row r="267" spans="1:107" x14ac:dyDescent="0.2">
      <c r="A267">
        <f>ROW(Source!A527)</f>
        <v>527</v>
      </c>
      <c r="B267">
        <v>38799519</v>
      </c>
      <c r="C267">
        <v>38801288</v>
      </c>
      <c r="D267">
        <v>38464479</v>
      </c>
      <c r="E267">
        <v>1</v>
      </c>
      <c r="F267">
        <v>1</v>
      </c>
      <c r="G267">
        <v>27</v>
      </c>
      <c r="H267">
        <v>2</v>
      </c>
      <c r="I267" t="s">
        <v>598</v>
      </c>
      <c r="J267" t="s">
        <v>599</v>
      </c>
      <c r="K267" t="s">
        <v>600</v>
      </c>
      <c r="L267">
        <v>1368</v>
      </c>
      <c r="N267">
        <v>1011</v>
      </c>
      <c r="O267" t="s">
        <v>393</v>
      </c>
      <c r="P267" t="s">
        <v>393</v>
      </c>
      <c r="Q267">
        <v>1</v>
      </c>
      <c r="W267">
        <v>0</v>
      </c>
      <c r="X267">
        <v>1126213602</v>
      </c>
      <c r="Y267">
        <v>0.10199999999999999</v>
      </c>
      <c r="AA267">
        <v>0</v>
      </c>
      <c r="AB267">
        <v>436.08</v>
      </c>
      <c r="AC267">
        <v>389.24</v>
      </c>
      <c r="AD267">
        <v>0</v>
      </c>
      <c r="AE267">
        <v>0</v>
      </c>
      <c r="AF267">
        <v>436.08</v>
      </c>
      <c r="AG267">
        <v>389.24</v>
      </c>
      <c r="AH267">
        <v>0</v>
      </c>
      <c r="AI267">
        <v>1</v>
      </c>
      <c r="AJ267">
        <v>1</v>
      </c>
      <c r="AK267">
        <v>1</v>
      </c>
      <c r="AL267">
        <v>1</v>
      </c>
      <c r="AN267">
        <v>0</v>
      </c>
      <c r="AO267">
        <v>1</v>
      </c>
      <c r="AP267">
        <v>0</v>
      </c>
      <c r="AQ267">
        <v>0</v>
      </c>
      <c r="AR267">
        <v>0</v>
      </c>
      <c r="AS267" t="s">
        <v>3</v>
      </c>
      <c r="AT267">
        <v>0.10199999999999999</v>
      </c>
      <c r="AU267" t="s">
        <v>3</v>
      </c>
      <c r="AV267">
        <v>0</v>
      </c>
      <c r="AW267">
        <v>2</v>
      </c>
      <c r="AX267">
        <v>38801309</v>
      </c>
      <c r="AY267">
        <v>1</v>
      </c>
      <c r="AZ267">
        <v>0</v>
      </c>
      <c r="BA267">
        <v>238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CX267">
        <f>Y267*Source!I527</f>
        <v>6.2219999999999995</v>
      </c>
      <c r="CY267">
        <f>AB267</f>
        <v>436.08</v>
      </c>
      <c r="CZ267">
        <f>AF267</f>
        <v>436.08</v>
      </c>
      <c r="DA267">
        <f>AJ267</f>
        <v>1</v>
      </c>
      <c r="DB267">
        <f t="shared" si="25"/>
        <v>44.48</v>
      </c>
      <c r="DC267">
        <f t="shared" si="26"/>
        <v>39.700000000000003</v>
      </c>
    </row>
    <row r="268" spans="1:107" x14ac:dyDescent="0.2">
      <c r="A268">
        <f>ROW(Source!A527)</f>
        <v>527</v>
      </c>
      <c r="B268">
        <v>38799519</v>
      </c>
      <c r="C268">
        <v>38801288</v>
      </c>
      <c r="D268">
        <v>38464497</v>
      </c>
      <c r="E268">
        <v>1</v>
      </c>
      <c r="F268">
        <v>1</v>
      </c>
      <c r="G268">
        <v>27</v>
      </c>
      <c r="H268">
        <v>2</v>
      </c>
      <c r="I268" t="s">
        <v>601</v>
      </c>
      <c r="J268" t="s">
        <v>602</v>
      </c>
      <c r="K268" t="s">
        <v>603</v>
      </c>
      <c r="L268">
        <v>1368</v>
      </c>
      <c r="N268">
        <v>1011</v>
      </c>
      <c r="O268" t="s">
        <v>393</v>
      </c>
      <c r="P268" t="s">
        <v>393</v>
      </c>
      <c r="Q268">
        <v>1</v>
      </c>
      <c r="W268">
        <v>0</v>
      </c>
      <c r="X268">
        <v>-645837323</v>
      </c>
      <c r="Y268">
        <v>0.16700000000000001</v>
      </c>
      <c r="AA268">
        <v>0</v>
      </c>
      <c r="AB268">
        <v>10.82</v>
      </c>
      <c r="AC268">
        <v>2.97</v>
      </c>
      <c r="AD268">
        <v>0</v>
      </c>
      <c r="AE268">
        <v>0</v>
      </c>
      <c r="AF268">
        <v>10.82</v>
      </c>
      <c r="AG268">
        <v>2.97</v>
      </c>
      <c r="AH268">
        <v>0</v>
      </c>
      <c r="AI268">
        <v>1</v>
      </c>
      <c r="AJ268">
        <v>1</v>
      </c>
      <c r="AK268">
        <v>1</v>
      </c>
      <c r="AL268">
        <v>1</v>
      </c>
      <c r="AN268">
        <v>0</v>
      </c>
      <c r="AO268">
        <v>1</v>
      </c>
      <c r="AP268">
        <v>0</v>
      </c>
      <c r="AQ268">
        <v>0</v>
      </c>
      <c r="AR268">
        <v>0</v>
      </c>
      <c r="AS268" t="s">
        <v>3</v>
      </c>
      <c r="AT268">
        <v>0.16700000000000001</v>
      </c>
      <c r="AU268" t="s">
        <v>3</v>
      </c>
      <c r="AV268">
        <v>0</v>
      </c>
      <c r="AW268">
        <v>2</v>
      </c>
      <c r="AX268">
        <v>38801310</v>
      </c>
      <c r="AY268">
        <v>1</v>
      </c>
      <c r="AZ268">
        <v>0</v>
      </c>
      <c r="BA268">
        <v>239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CX268">
        <f>Y268*Source!I527</f>
        <v>10.187000000000001</v>
      </c>
      <c r="CY268">
        <f>AB268</f>
        <v>10.82</v>
      </c>
      <c r="CZ268">
        <f>AF268</f>
        <v>10.82</v>
      </c>
      <c r="DA268">
        <f>AJ268</f>
        <v>1</v>
      </c>
      <c r="DB268">
        <f t="shared" si="25"/>
        <v>1.81</v>
      </c>
      <c r="DC268">
        <f t="shared" si="26"/>
        <v>0.5</v>
      </c>
    </row>
    <row r="269" spans="1:107" x14ac:dyDescent="0.2">
      <c r="A269">
        <f>ROW(Source!A527)</f>
        <v>527</v>
      </c>
      <c r="B269">
        <v>38799519</v>
      </c>
      <c r="C269">
        <v>38801288</v>
      </c>
      <c r="D269">
        <v>38464534</v>
      </c>
      <c r="E269">
        <v>1</v>
      </c>
      <c r="F269">
        <v>1</v>
      </c>
      <c r="G269">
        <v>27</v>
      </c>
      <c r="H269">
        <v>2</v>
      </c>
      <c r="I269" t="s">
        <v>604</v>
      </c>
      <c r="J269" t="s">
        <v>605</v>
      </c>
      <c r="K269" t="s">
        <v>606</v>
      </c>
      <c r="L269">
        <v>1368</v>
      </c>
      <c r="N269">
        <v>1011</v>
      </c>
      <c r="O269" t="s">
        <v>393</v>
      </c>
      <c r="P269" t="s">
        <v>393</v>
      </c>
      <c r="Q269">
        <v>1</v>
      </c>
      <c r="W269">
        <v>0</v>
      </c>
      <c r="X269">
        <v>-1749865602</v>
      </c>
      <c r="Y269">
        <v>0.16700000000000001</v>
      </c>
      <c r="AA269">
        <v>0</v>
      </c>
      <c r="AB269">
        <v>1289.26</v>
      </c>
      <c r="AC269">
        <v>637.17999999999995</v>
      </c>
      <c r="AD269">
        <v>0</v>
      </c>
      <c r="AE269">
        <v>0</v>
      </c>
      <c r="AF269">
        <v>1289.26</v>
      </c>
      <c r="AG269">
        <v>637.17999999999995</v>
      </c>
      <c r="AH269">
        <v>0</v>
      </c>
      <c r="AI269">
        <v>1</v>
      </c>
      <c r="AJ269">
        <v>1</v>
      </c>
      <c r="AK269">
        <v>1</v>
      </c>
      <c r="AL269">
        <v>1</v>
      </c>
      <c r="AN269">
        <v>0</v>
      </c>
      <c r="AO269">
        <v>1</v>
      </c>
      <c r="AP269">
        <v>0</v>
      </c>
      <c r="AQ269">
        <v>0</v>
      </c>
      <c r="AR269">
        <v>0</v>
      </c>
      <c r="AS269" t="s">
        <v>3</v>
      </c>
      <c r="AT269">
        <v>0.16700000000000001</v>
      </c>
      <c r="AU269" t="s">
        <v>3</v>
      </c>
      <c r="AV269">
        <v>0</v>
      </c>
      <c r="AW269">
        <v>2</v>
      </c>
      <c r="AX269">
        <v>38801311</v>
      </c>
      <c r="AY269">
        <v>1</v>
      </c>
      <c r="AZ269">
        <v>0</v>
      </c>
      <c r="BA269">
        <v>240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CX269">
        <f>Y269*Source!I527</f>
        <v>10.187000000000001</v>
      </c>
      <c r="CY269">
        <f>AB269</f>
        <v>1289.26</v>
      </c>
      <c r="CZ269">
        <f>AF269</f>
        <v>1289.26</v>
      </c>
      <c r="DA269">
        <f>AJ269</f>
        <v>1</v>
      </c>
      <c r="DB269">
        <f t="shared" si="25"/>
        <v>215.31</v>
      </c>
      <c r="DC269">
        <f t="shared" si="26"/>
        <v>106.41</v>
      </c>
    </row>
    <row r="270" spans="1:107" x14ac:dyDescent="0.2">
      <c r="A270">
        <f>ROW(Source!A527)</f>
        <v>527</v>
      </c>
      <c r="B270">
        <v>38799519</v>
      </c>
      <c r="C270">
        <v>38801288</v>
      </c>
      <c r="D270">
        <v>38466030</v>
      </c>
      <c r="E270">
        <v>1</v>
      </c>
      <c r="F270">
        <v>1</v>
      </c>
      <c r="G270">
        <v>27</v>
      </c>
      <c r="H270">
        <v>3</v>
      </c>
      <c r="I270" t="s">
        <v>592</v>
      </c>
      <c r="J270" t="s">
        <v>593</v>
      </c>
      <c r="K270" t="s">
        <v>594</v>
      </c>
      <c r="L270">
        <v>1348</v>
      </c>
      <c r="N270">
        <v>1009</v>
      </c>
      <c r="O270" t="s">
        <v>155</v>
      </c>
      <c r="P270" t="s">
        <v>155</v>
      </c>
      <c r="Q270">
        <v>1000</v>
      </c>
      <c r="W270">
        <v>0</v>
      </c>
      <c r="X270">
        <v>950604455</v>
      </c>
      <c r="Y270">
        <v>1.01E-3</v>
      </c>
      <c r="AA270">
        <v>38268.54</v>
      </c>
      <c r="AB270">
        <v>0</v>
      </c>
      <c r="AC270">
        <v>0</v>
      </c>
      <c r="AD270">
        <v>0</v>
      </c>
      <c r="AE270">
        <v>38268.54</v>
      </c>
      <c r="AF270">
        <v>0</v>
      </c>
      <c r="AG270">
        <v>0</v>
      </c>
      <c r="AH270">
        <v>0</v>
      </c>
      <c r="AI270">
        <v>1</v>
      </c>
      <c r="AJ270">
        <v>1</v>
      </c>
      <c r="AK270">
        <v>1</v>
      </c>
      <c r="AL270">
        <v>1</v>
      </c>
      <c r="AN270">
        <v>0</v>
      </c>
      <c r="AO270">
        <v>1</v>
      </c>
      <c r="AP270">
        <v>0</v>
      </c>
      <c r="AQ270">
        <v>0</v>
      </c>
      <c r="AR270">
        <v>0</v>
      </c>
      <c r="AS270" t="s">
        <v>3</v>
      </c>
      <c r="AT270">
        <v>1.01E-3</v>
      </c>
      <c r="AU270" t="s">
        <v>3</v>
      </c>
      <c r="AV270">
        <v>0</v>
      </c>
      <c r="AW270">
        <v>2</v>
      </c>
      <c r="AX270">
        <v>38801312</v>
      </c>
      <c r="AY270">
        <v>1</v>
      </c>
      <c r="AZ270">
        <v>0</v>
      </c>
      <c r="BA270">
        <v>241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CX270">
        <f>Y270*Source!I527</f>
        <v>6.1610000000000005E-2</v>
      </c>
      <c r="CY270">
        <f t="shared" ref="CY270:CY280" si="30">AA270</f>
        <v>38268.54</v>
      </c>
      <c r="CZ270">
        <f t="shared" ref="CZ270:CZ280" si="31">AE270</f>
        <v>38268.54</v>
      </c>
      <c r="DA270">
        <f t="shared" ref="DA270:DA280" si="32">AI270</f>
        <v>1</v>
      </c>
      <c r="DB270">
        <f t="shared" si="25"/>
        <v>38.65</v>
      </c>
      <c r="DC270">
        <f t="shared" si="26"/>
        <v>0</v>
      </c>
    </row>
    <row r="271" spans="1:107" x14ac:dyDescent="0.2">
      <c r="A271">
        <f>ROW(Source!A527)</f>
        <v>527</v>
      </c>
      <c r="B271">
        <v>38799519</v>
      </c>
      <c r="C271">
        <v>38801288</v>
      </c>
      <c r="D271">
        <v>38466047</v>
      </c>
      <c r="E271">
        <v>1</v>
      </c>
      <c r="F271">
        <v>1</v>
      </c>
      <c r="G271">
        <v>27</v>
      </c>
      <c r="H271">
        <v>3</v>
      </c>
      <c r="I271" t="s">
        <v>607</v>
      </c>
      <c r="J271" t="s">
        <v>608</v>
      </c>
      <c r="K271" t="s">
        <v>609</v>
      </c>
      <c r="L271">
        <v>1348</v>
      </c>
      <c r="N271">
        <v>1009</v>
      </c>
      <c r="O271" t="s">
        <v>155</v>
      </c>
      <c r="P271" t="s">
        <v>155</v>
      </c>
      <c r="Q271">
        <v>1000</v>
      </c>
      <c r="W271">
        <v>0</v>
      </c>
      <c r="X271">
        <v>302718651</v>
      </c>
      <c r="Y271">
        <v>2.3000000000000001E-4</v>
      </c>
      <c r="AA271">
        <v>37354.800000000003</v>
      </c>
      <c r="AB271">
        <v>0</v>
      </c>
      <c r="AC271">
        <v>0</v>
      </c>
      <c r="AD271">
        <v>0</v>
      </c>
      <c r="AE271">
        <v>37354.800000000003</v>
      </c>
      <c r="AF271">
        <v>0</v>
      </c>
      <c r="AG271">
        <v>0</v>
      </c>
      <c r="AH271">
        <v>0</v>
      </c>
      <c r="AI271">
        <v>1</v>
      </c>
      <c r="AJ271">
        <v>1</v>
      </c>
      <c r="AK271">
        <v>1</v>
      </c>
      <c r="AL271">
        <v>1</v>
      </c>
      <c r="AN271">
        <v>0</v>
      </c>
      <c r="AO271">
        <v>1</v>
      </c>
      <c r="AP271">
        <v>0</v>
      </c>
      <c r="AQ271">
        <v>0</v>
      </c>
      <c r="AR271">
        <v>0</v>
      </c>
      <c r="AS271" t="s">
        <v>3</v>
      </c>
      <c r="AT271">
        <v>2.3000000000000001E-4</v>
      </c>
      <c r="AU271" t="s">
        <v>3</v>
      </c>
      <c r="AV271">
        <v>0</v>
      </c>
      <c r="AW271">
        <v>2</v>
      </c>
      <c r="AX271">
        <v>38801313</v>
      </c>
      <c r="AY271">
        <v>1</v>
      </c>
      <c r="AZ271">
        <v>0</v>
      </c>
      <c r="BA271">
        <v>242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CX271">
        <f>Y271*Source!I527</f>
        <v>1.4030000000000001E-2</v>
      </c>
      <c r="CY271">
        <f t="shared" si="30"/>
        <v>37354.800000000003</v>
      </c>
      <c r="CZ271">
        <f t="shared" si="31"/>
        <v>37354.800000000003</v>
      </c>
      <c r="DA271">
        <f t="shared" si="32"/>
        <v>1</v>
      </c>
      <c r="DB271">
        <f t="shared" si="25"/>
        <v>8.59</v>
      </c>
      <c r="DC271">
        <f t="shared" si="26"/>
        <v>0</v>
      </c>
    </row>
    <row r="272" spans="1:107" x14ac:dyDescent="0.2">
      <c r="A272">
        <f>ROW(Source!A527)</f>
        <v>527</v>
      </c>
      <c r="B272">
        <v>38799519</v>
      </c>
      <c r="C272">
        <v>38801288</v>
      </c>
      <c r="D272">
        <v>38465907</v>
      </c>
      <c r="E272">
        <v>1</v>
      </c>
      <c r="F272">
        <v>1</v>
      </c>
      <c r="G272">
        <v>27</v>
      </c>
      <c r="H272">
        <v>3</v>
      </c>
      <c r="I272" t="s">
        <v>162</v>
      </c>
      <c r="J272" t="s">
        <v>164</v>
      </c>
      <c r="K272" t="s">
        <v>163</v>
      </c>
      <c r="L272">
        <v>1348</v>
      </c>
      <c r="N272">
        <v>1009</v>
      </c>
      <c r="O272" t="s">
        <v>155</v>
      </c>
      <c r="P272" t="s">
        <v>155</v>
      </c>
      <c r="Q272">
        <v>1000</v>
      </c>
      <c r="W272">
        <v>0</v>
      </c>
      <c r="X272">
        <v>209443868</v>
      </c>
      <c r="Y272">
        <v>2.8032999999999999E-2</v>
      </c>
      <c r="AA272">
        <v>37329.29</v>
      </c>
      <c r="AB272">
        <v>0</v>
      </c>
      <c r="AC272">
        <v>0</v>
      </c>
      <c r="AD272">
        <v>0</v>
      </c>
      <c r="AE272">
        <v>37329.29</v>
      </c>
      <c r="AF272">
        <v>0</v>
      </c>
      <c r="AG272">
        <v>0</v>
      </c>
      <c r="AH272">
        <v>0</v>
      </c>
      <c r="AI272">
        <v>1</v>
      </c>
      <c r="AJ272">
        <v>1</v>
      </c>
      <c r="AK272">
        <v>1</v>
      </c>
      <c r="AL272">
        <v>1</v>
      </c>
      <c r="AN272">
        <v>0</v>
      </c>
      <c r="AO272">
        <v>0</v>
      </c>
      <c r="AP272">
        <v>0</v>
      </c>
      <c r="AQ272">
        <v>0</v>
      </c>
      <c r="AR272">
        <v>0</v>
      </c>
      <c r="AS272" t="s">
        <v>3</v>
      </c>
      <c r="AT272">
        <v>2.8032999999999999E-2</v>
      </c>
      <c r="AU272" t="s">
        <v>3</v>
      </c>
      <c r="AV272">
        <v>0</v>
      </c>
      <c r="AW272">
        <v>1</v>
      </c>
      <c r="AX272">
        <v>-1</v>
      </c>
      <c r="AY272">
        <v>0</v>
      </c>
      <c r="AZ272">
        <v>0</v>
      </c>
      <c r="BA272" t="s">
        <v>3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CX272">
        <f>Y272*Source!I527</f>
        <v>1.710013</v>
      </c>
      <c r="CY272">
        <f t="shared" si="30"/>
        <v>37329.29</v>
      </c>
      <c r="CZ272">
        <f t="shared" si="31"/>
        <v>37329.29</v>
      </c>
      <c r="DA272">
        <f t="shared" si="32"/>
        <v>1</v>
      </c>
      <c r="DB272">
        <f t="shared" si="25"/>
        <v>1046.45</v>
      </c>
      <c r="DC272">
        <f t="shared" si="26"/>
        <v>0</v>
      </c>
    </row>
    <row r="273" spans="1:107" x14ac:dyDescent="0.2">
      <c r="A273">
        <f>ROW(Source!A527)</f>
        <v>527</v>
      </c>
      <c r="B273">
        <v>38799519</v>
      </c>
      <c r="C273">
        <v>38801288</v>
      </c>
      <c r="D273">
        <v>38466366</v>
      </c>
      <c r="E273">
        <v>1</v>
      </c>
      <c r="F273">
        <v>1</v>
      </c>
      <c r="G273">
        <v>27</v>
      </c>
      <c r="H273">
        <v>3</v>
      </c>
      <c r="I273" t="s">
        <v>423</v>
      </c>
      <c r="J273" t="s">
        <v>424</v>
      </c>
      <c r="K273" t="s">
        <v>425</v>
      </c>
      <c r="L273">
        <v>1339</v>
      </c>
      <c r="N273">
        <v>1007</v>
      </c>
      <c r="O273" t="s">
        <v>35</v>
      </c>
      <c r="P273" t="s">
        <v>35</v>
      </c>
      <c r="Q273">
        <v>1</v>
      </c>
      <c r="W273">
        <v>0</v>
      </c>
      <c r="X273">
        <v>-1662970571</v>
      </c>
      <c r="Y273">
        <v>0.1</v>
      </c>
      <c r="AA273">
        <v>590.78</v>
      </c>
      <c r="AB273">
        <v>0</v>
      </c>
      <c r="AC273">
        <v>0</v>
      </c>
      <c r="AD273">
        <v>0</v>
      </c>
      <c r="AE273">
        <v>590.78</v>
      </c>
      <c r="AF273">
        <v>0</v>
      </c>
      <c r="AG273">
        <v>0</v>
      </c>
      <c r="AH273">
        <v>0</v>
      </c>
      <c r="AI273">
        <v>1</v>
      </c>
      <c r="AJ273">
        <v>1</v>
      </c>
      <c r="AK273">
        <v>1</v>
      </c>
      <c r="AL273">
        <v>1</v>
      </c>
      <c r="AN273">
        <v>0</v>
      </c>
      <c r="AO273">
        <v>1</v>
      </c>
      <c r="AP273">
        <v>0</v>
      </c>
      <c r="AQ273">
        <v>0</v>
      </c>
      <c r="AR273">
        <v>0</v>
      </c>
      <c r="AS273" t="s">
        <v>3</v>
      </c>
      <c r="AT273">
        <v>0.1</v>
      </c>
      <c r="AU273" t="s">
        <v>3</v>
      </c>
      <c r="AV273">
        <v>0</v>
      </c>
      <c r="AW273">
        <v>2</v>
      </c>
      <c r="AX273">
        <v>38801314</v>
      </c>
      <c r="AY273">
        <v>1</v>
      </c>
      <c r="AZ273">
        <v>0</v>
      </c>
      <c r="BA273">
        <v>243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CX273">
        <f>Y273*Source!I527</f>
        <v>6.1000000000000005</v>
      </c>
      <c r="CY273">
        <f t="shared" si="30"/>
        <v>590.78</v>
      </c>
      <c r="CZ273">
        <f t="shared" si="31"/>
        <v>590.78</v>
      </c>
      <c r="DA273">
        <f t="shared" si="32"/>
        <v>1</v>
      </c>
      <c r="DB273">
        <f t="shared" si="25"/>
        <v>59.08</v>
      </c>
      <c r="DC273">
        <f t="shared" si="26"/>
        <v>0</v>
      </c>
    </row>
    <row r="274" spans="1:107" x14ac:dyDescent="0.2">
      <c r="A274">
        <f>ROW(Source!A527)</f>
        <v>527</v>
      </c>
      <c r="B274">
        <v>38799519</v>
      </c>
      <c r="C274">
        <v>38801288</v>
      </c>
      <c r="D274">
        <v>38466385</v>
      </c>
      <c r="E274">
        <v>1</v>
      </c>
      <c r="F274">
        <v>1</v>
      </c>
      <c r="G274">
        <v>27</v>
      </c>
      <c r="H274">
        <v>3</v>
      </c>
      <c r="I274" t="s">
        <v>610</v>
      </c>
      <c r="J274" t="s">
        <v>611</v>
      </c>
      <c r="K274" t="s">
        <v>612</v>
      </c>
      <c r="L274">
        <v>1339</v>
      </c>
      <c r="N274">
        <v>1007</v>
      </c>
      <c r="O274" t="s">
        <v>35</v>
      </c>
      <c r="P274" t="s">
        <v>35</v>
      </c>
      <c r="Q274">
        <v>1</v>
      </c>
      <c r="W274">
        <v>0</v>
      </c>
      <c r="X274">
        <v>789691504</v>
      </c>
      <c r="Y274">
        <v>0.112</v>
      </c>
      <c r="AA274">
        <v>1436.5</v>
      </c>
      <c r="AB274">
        <v>0</v>
      </c>
      <c r="AC274">
        <v>0</v>
      </c>
      <c r="AD274">
        <v>0</v>
      </c>
      <c r="AE274">
        <v>1436.5</v>
      </c>
      <c r="AF274">
        <v>0</v>
      </c>
      <c r="AG274">
        <v>0</v>
      </c>
      <c r="AH274">
        <v>0</v>
      </c>
      <c r="AI274">
        <v>1</v>
      </c>
      <c r="AJ274">
        <v>1</v>
      </c>
      <c r="AK274">
        <v>1</v>
      </c>
      <c r="AL274">
        <v>1</v>
      </c>
      <c r="AN274">
        <v>0</v>
      </c>
      <c r="AO274">
        <v>1</v>
      </c>
      <c r="AP274">
        <v>0</v>
      </c>
      <c r="AQ274">
        <v>0</v>
      </c>
      <c r="AR274">
        <v>0</v>
      </c>
      <c r="AS274" t="s">
        <v>3</v>
      </c>
      <c r="AT274">
        <v>0.112</v>
      </c>
      <c r="AU274" t="s">
        <v>3</v>
      </c>
      <c r="AV274">
        <v>0</v>
      </c>
      <c r="AW274">
        <v>2</v>
      </c>
      <c r="AX274">
        <v>38801315</v>
      </c>
      <c r="AY274">
        <v>1</v>
      </c>
      <c r="AZ274">
        <v>0</v>
      </c>
      <c r="BA274">
        <v>244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CX274">
        <f>Y274*Source!I527</f>
        <v>6.8319999999999999</v>
      </c>
      <c r="CY274">
        <f t="shared" si="30"/>
        <v>1436.5</v>
      </c>
      <c r="CZ274">
        <f t="shared" si="31"/>
        <v>1436.5</v>
      </c>
      <c r="DA274">
        <f t="shared" si="32"/>
        <v>1</v>
      </c>
      <c r="DB274">
        <f t="shared" si="25"/>
        <v>160.88999999999999</v>
      </c>
      <c r="DC274">
        <f t="shared" si="26"/>
        <v>0</v>
      </c>
    </row>
    <row r="275" spans="1:107" x14ac:dyDescent="0.2">
      <c r="A275">
        <f>ROW(Source!A527)</f>
        <v>527</v>
      </c>
      <c r="B275">
        <v>38799519</v>
      </c>
      <c r="C275">
        <v>38801288</v>
      </c>
      <c r="D275">
        <v>38465314</v>
      </c>
      <c r="E275">
        <v>1</v>
      </c>
      <c r="F275">
        <v>1</v>
      </c>
      <c r="G275">
        <v>27</v>
      </c>
      <c r="H275">
        <v>3</v>
      </c>
      <c r="I275" t="s">
        <v>426</v>
      </c>
      <c r="J275" t="s">
        <v>427</v>
      </c>
      <c r="K275" t="s">
        <v>428</v>
      </c>
      <c r="L275">
        <v>1348</v>
      </c>
      <c r="N275">
        <v>1009</v>
      </c>
      <c r="O275" t="s">
        <v>155</v>
      </c>
      <c r="P275" t="s">
        <v>155</v>
      </c>
      <c r="Q275">
        <v>1000</v>
      </c>
      <c r="W275">
        <v>0</v>
      </c>
      <c r="X275">
        <v>213373920</v>
      </c>
      <c r="Y275">
        <v>4.0039999999999999E-2</v>
      </c>
      <c r="AA275">
        <v>4207.5</v>
      </c>
      <c r="AB275">
        <v>0</v>
      </c>
      <c r="AC275">
        <v>0</v>
      </c>
      <c r="AD275">
        <v>0</v>
      </c>
      <c r="AE275">
        <v>4207.5</v>
      </c>
      <c r="AF275">
        <v>0</v>
      </c>
      <c r="AG275">
        <v>0</v>
      </c>
      <c r="AH275">
        <v>0</v>
      </c>
      <c r="AI275">
        <v>1</v>
      </c>
      <c r="AJ275">
        <v>1</v>
      </c>
      <c r="AK275">
        <v>1</v>
      </c>
      <c r="AL275">
        <v>1</v>
      </c>
      <c r="AN275">
        <v>0</v>
      </c>
      <c r="AO275">
        <v>1</v>
      </c>
      <c r="AP275">
        <v>0</v>
      </c>
      <c r="AQ275">
        <v>0</v>
      </c>
      <c r="AR275">
        <v>0</v>
      </c>
      <c r="AS275" t="s">
        <v>3</v>
      </c>
      <c r="AT275">
        <v>4.0039999999999999E-2</v>
      </c>
      <c r="AU275" t="s">
        <v>3</v>
      </c>
      <c r="AV275">
        <v>0</v>
      </c>
      <c r="AW275">
        <v>2</v>
      </c>
      <c r="AX275">
        <v>38801316</v>
      </c>
      <c r="AY275">
        <v>1</v>
      </c>
      <c r="AZ275">
        <v>0</v>
      </c>
      <c r="BA275">
        <v>245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CX275">
        <f>Y275*Source!I527</f>
        <v>2.4424399999999999</v>
      </c>
      <c r="CY275">
        <f t="shared" si="30"/>
        <v>4207.5</v>
      </c>
      <c r="CZ275">
        <f t="shared" si="31"/>
        <v>4207.5</v>
      </c>
      <c r="DA275">
        <f t="shared" si="32"/>
        <v>1</v>
      </c>
      <c r="DB275">
        <f t="shared" si="25"/>
        <v>168.47</v>
      </c>
      <c r="DC275">
        <f t="shared" si="26"/>
        <v>0</v>
      </c>
    </row>
    <row r="276" spans="1:107" x14ac:dyDescent="0.2">
      <c r="A276">
        <f>ROW(Source!A527)</f>
        <v>527</v>
      </c>
      <c r="B276">
        <v>38799519</v>
      </c>
      <c r="C276">
        <v>38801288</v>
      </c>
      <c r="D276">
        <v>38467111</v>
      </c>
      <c r="E276">
        <v>1</v>
      </c>
      <c r="F276">
        <v>1</v>
      </c>
      <c r="G276">
        <v>27</v>
      </c>
      <c r="H276">
        <v>3</v>
      </c>
      <c r="I276" t="s">
        <v>487</v>
      </c>
      <c r="J276" t="s">
        <v>488</v>
      </c>
      <c r="K276" t="s">
        <v>489</v>
      </c>
      <c r="L276">
        <v>1339</v>
      </c>
      <c r="N276">
        <v>1007</v>
      </c>
      <c r="O276" t="s">
        <v>35</v>
      </c>
      <c r="P276" t="s">
        <v>35</v>
      </c>
      <c r="Q276">
        <v>1</v>
      </c>
      <c r="W276">
        <v>0</v>
      </c>
      <c r="X276">
        <v>2028445372</v>
      </c>
      <c r="Y276">
        <v>2.9399999999999999E-2</v>
      </c>
      <c r="AA276">
        <v>35.25</v>
      </c>
      <c r="AB276">
        <v>0</v>
      </c>
      <c r="AC276">
        <v>0</v>
      </c>
      <c r="AD276">
        <v>0</v>
      </c>
      <c r="AE276">
        <v>35.25</v>
      </c>
      <c r="AF276">
        <v>0</v>
      </c>
      <c r="AG276">
        <v>0</v>
      </c>
      <c r="AH276">
        <v>0</v>
      </c>
      <c r="AI276">
        <v>1</v>
      </c>
      <c r="AJ276">
        <v>1</v>
      </c>
      <c r="AK276">
        <v>1</v>
      </c>
      <c r="AL276">
        <v>1</v>
      </c>
      <c r="AN276">
        <v>0</v>
      </c>
      <c r="AO276">
        <v>1</v>
      </c>
      <c r="AP276">
        <v>0</v>
      </c>
      <c r="AQ276">
        <v>0</v>
      </c>
      <c r="AR276">
        <v>0</v>
      </c>
      <c r="AS276" t="s">
        <v>3</v>
      </c>
      <c r="AT276">
        <v>2.9399999999999999E-2</v>
      </c>
      <c r="AU276" t="s">
        <v>3</v>
      </c>
      <c r="AV276">
        <v>0</v>
      </c>
      <c r="AW276">
        <v>2</v>
      </c>
      <c r="AX276">
        <v>38801317</v>
      </c>
      <c r="AY276">
        <v>1</v>
      </c>
      <c r="AZ276">
        <v>0</v>
      </c>
      <c r="BA276">
        <v>246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CX276">
        <f>Y276*Source!I527</f>
        <v>1.7933999999999999</v>
      </c>
      <c r="CY276">
        <f t="shared" si="30"/>
        <v>35.25</v>
      </c>
      <c r="CZ276">
        <f t="shared" si="31"/>
        <v>35.25</v>
      </c>
      <c r="DA276">
        <f t="shared" si="32"/>
        <v>1</v>
      </c>
      <c r="DB276">
        <f t="shared" si="25"/>
        <v>1.04</v>
      </c>
      <c r="DC276">
        <f t="shared" si="26"/>
        <v>0</v>
      </c>
    </row>
    <row r="277" spans="1:107" x14ac:dyDescent="0.2">
      <c r="A277">
        <f>ROW(Source!A527)</f>
        <v>527</v>
      </c>
      <c r="B277">
        <v>38799519</v>
      </c>
      <c r="C277">
        <v>38801288</v>
      </c>
      <c r="D277">
        <v>38471415</v>
      </c>
      <c r="E277">
        <v>1</v>
      </c>
      <c r="F277">
        <v>1</v>
      </c>
      <c r="G277">
        <v>27</v>
      </c>
      <c r="H277">
        <v>3</v>
      </c>
      <c r="I277" t="s">
        <v>308</v>
      </c>
      <c r="J277" t="s">
        <v>310</v>
      </c>
      <c r="K277" t="s">
        <v>309</v>
      </c>
      <c r="L277">
        <v>1301</v>
      </c>
      <c r="N277">
        <v>1003</v>
      </c>
      <c r="O277" t="s">
        <v>121</v>
      </c>
      <c r="P277" t="s">
        <v>121</v>
      </c>
      <c r="Q277">
        <v>1</v>
      </c>
      <c r="W277">
        <v>0</v>
      </c>
      <c r="X277">
        <v>1566889511</v>
      </c>
      <c r="Y277">
        <v>2.5</v>
      </c>
      <c r="AA277">
        <v>1312.08</v>
      </c>
      <c r="AB277">
        <v>0</v>
      </c>
      <c r="AC277">
        <v>0</v>
      </c>
      <c r="AD277">
        <v>0</v>
      </c>
      <c r="AE277">
        <v>1312.08</v>
      </c>
      <c r="AF277">
        <v>0</v>
      </c>
      <c r="AG277">
        <v>0</v>
      </c>
      <c r="AH277">
        <v>0</v>
      </c>
      <c r="AI277">
        <v>1</v>
      </c>
      <c r="AJ277">
        <v>1</v>
      </c>
      <c r="AK277">
        <v>1</v>
      </c>
      <c r="AL277">
        <v>1</v>
      </c>
      <c r="AN277">
        <v>0</v>
      </c>
      <c r="AO277">
        <v>1</v>
      </c>
      <c r="AP277">
        <v>0</v>
      </c>
      <c r="AQ277">
        <v>0</v>
      </c>
      <c r="AR277">
        <v>0</v>
      </c>
      <c r="AS277" t="s">
        <v>3</v>
      </c>
      <c r="AT277">
        <v>2.5</v>
      </c>
      <c r="AU277" t="s">
        <v>3</v>
      </c>
      <c r="AV277">
        <v>0</v>
      </c>
      <c r="AW277">
        <v>2</v>
      </c>
      <c r="AX277">
        <v>38801320</v>
      </c>
      <c r="AY277">
        <v>1</v>
      </c>
      <c r="AZ277">
        <v>0</v>
      </c>
      <c r="BA277">
        <v>247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CX277">
        <f>Y277*Source!I527</f>
        <v>152.5</v>
      </c>
      <c r="CY277">
        <f t="shared" si="30"/>
        <v>1312.08</v>
      </c>
      <c r="CZ277">
        <f t="shared" si="31"/>
        <v>1312.08</v>
      </c>
      <c r="DA277">
        <f t="shared" si="32"/>
        <v>1</v>
      </c>
      <c r="DB277">
        <f t="shared" si="25"/>
        <v>3280.2</v>
      </c>
      <c r="DC277">
        <f t="shared" si="26"/>
        <v>0</v>
      </c>
    </row>
    <row r="278" spans="1:107" x14ac:dyDescent="0.2">
      <c r="A278">
        <f>ROW(Source!A527)</f>
        <v>527</v>
      </c>
      <c r="B278">
        <v>38799519</v>
      </c>
      <c r="C278">
        <v>38801288</v>
      </c>
      <c r="D278">
        <v>38471415</v>
      </c>
      <c r="E278">
        <v>1</v>
      </c>
      <c r="F278">
        <v>1</v>
      </c>
      <c r="G278">
        <v>27</v>
      </c>
      <c r="H278">
        <v>3</v>
      </c>
      <c r="I278" t="s">
        <v>308</v>
      </c>
      <c r="J278" t="s">
        <v>310</v>
      </c>
      <c r="K278" t="s">
        <v>309</v>
      </c>
      <c r="L278">
        <v>1301</v>
      </c>
      <c r="N278">
        <v>1003</v>
      </c>
      <c r="O278" t="s">
        <v>121</v>
      </c>
      <c r="P278" t="s">
        <v>121</v>
      </c>
      <c r="Q278">
        <v>1</v>
      </c>
      <c r="W278">
        <v>0</v>
      </c>
      <c r="X278">
        <v>1566889511</v>
      </c>
      <c r="Y278">
        <v>-2.5</v>
      </c>
      <c r="AA278">
        <v>1312.08</v>
      </c>
      <c r="AB278">
        <v>0</v>
      </c>
      <c r="AC278">
        <v>0</v>
      </c>
      <c r="AD278">
        <v>0</v>
      </c>
      <c r="AE278">
        <v>1312.08</v>
      </c>
      <c r="AF278">
        <v>0</v>
      </c>
      <c r="AG278">
        <v>0</v>
      </c>
      <c r="AH278">
        <v>0</v>
      </c>
      <c r="AI278">
        <v>1</v>
      </c>
      <c r="AJ278">
        <v>1</v>
      </c>
      <c r="AK278">
        <v>1</v>
      </c>
      <c r="AL278">
        <v>1</v>
      </c>
      <c r="AN278">
        <v>0</v>
      </c>
      <c r="AO278">
        <v>0</v>
      </c>
      <c r="AP278">
        <v>0</v>
      </c>
      <c r="AQ278">
        <v>0</v>
      </c>
      <c r="AR278">
        <v>0</v>
      </c>
      <c r="AS278" t="s">
        <v>3</v>
      </c>
      <c r="AT278">
        <v>-2.5</v>
      </c>
      <c r="AU278" t="s">
        <v>3</v>
      </c>
      <c r="AV278">
        <v>0</v>
      </c>
      <c r="AW278">
        <v>1</v>
      </c>
      <c r="AX278">
        <v>-1</v>
      </c>
      <c r="AY278">
        <v>0</v>
      </c>
      <c r="AZ278">
        <v>0</v>
      </c>
      <c r="BA278" t="s">
        <v>3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CX278">
        <f>Y278*Source!I527</f>
        <v>-152.5</v>
      </c>
      <c r="CY278">
        <f t="shared" si="30"/>
        <v>1312.08</v>
      </c>
      <c r="CZ278">
        <f t="shared" si="31"/>
        <v>1312.08</v>
      </c>
      <c r="DA278">
        <f t="shared" si="32"/>
        <v>1</v>
      </c>
      <c r="DB278">
        <f t="shared" si="25"/>
        <v>-3280.2</v>
      </c>
      <c r="DC278">
        <f t="shared" si="26"/>
        <v>0</v>
      </c>
    </row>
    <row r="279" spans="1:107" x14ac:dyDescent="0.2">
      <c r="A279">
        <f>ROW(Source!A527)</f>
        <v>527</v>
      </c>
      <c r="B279">
        <v>38799519</v>
      </c>
      <c r="C279">
        <v>38801288</v>
      </c>
      <c r="D279">
        <v>38465401</v>
      </c>
      <c r="E279">
        <v>1</v>
      </c>
      <c r="F279">
        <v>1</v>
      </c>
      <c r="G279">
        <v>27</v>
      </c>
      <c r="H279">
        <v>3</v>
      </c>
      <c r="I279" t="s">
        <v>511</v>
      </c>
      <c r="J279" t="s">
        <v>512</v>
      </c>
      <c r="K279" t="s">
        <v>513</v>
      </c>
      <c r="L279">
        <v>1339</v>
      </c>
      <c r="N279">
        <v>1007</v>
      </c>
      <c r="O279" t="s">
        <v>35</v>
      </c>
      <c r="P279" t="s">
        <v>35</v>
      </c>
      <c r="Q279">
        <v>1</v>
      </c>
      <c r="W279">
        <v>0</v>
      </c>
      <c r="X279">
        <v>-617769218</v>
      </c>
      <c r="Y279">
        <v>1.12E-2</v>
      </c>
      <c r="AA279">
        <v>53.38</v>
      </c>
      <c r="AB279">
        <v>0</v>
      </c>
      <c r="AC279">
        <v>0</v>
      </c>
      <c r="AD279">
        <v>0</v>
      </c>
      <c r="AE279">
        <v>53.38</v>
      </c>
      <c r="AF279">
        <v>0</v>
      </c>
      <c r="AG279">
        <v>0</v>
      </c>
      <c r="AH279">
        <v>0</v>
      </c>
      <c r="AI279">
        <v>1</v>
      </c>
      <c r="AJ279">
        <v>1</v>
      </c>
      <c r="AK279">
        <v>1</v>
      </c>
      <c r="AL279">
        <v>1</v>
      </c>
      <c r="AN279">
        <v>0</v>
      </c>
      <c r="AO279">
        <v>1</v>
      </c>
      <c r="AP279">
        <v>0</v>
      </c>
      <c r="AQ279">
        <v>0</v>
      </c>
      <c r="AR279">
        <v>0</v>
      </c>
      <c r="AS279" t="s">
        <v>3</v>
      </c>
      <c r="AT279">
        <v>1.12E-2</v>
      </c>
      <c r="AU279" t="s">
        <v>3</v>
      </c>
      <c r="AV279">
        <v>0</v>
      </c>
      <c r="AW279">
        <v>2</v>
      </c>
      <c r="AX279">
        <v>38801318</v>
      </c>
      <c r="AY279">
        <v>1</v>
      </c>
      <c r="AZ279">
        <v>0</v>
      </c>
      <c r="BA279">
        <v>248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CX279">
        <f>Y279*Source!I527</f>
        <v>0.68320000000000003</v>
      </c>
      <c r="CY279">
        <f t="shared" si="30"/>
        <v>53.38</v>
      </c>
      <c r="CZ279">
        <f t="shared" si="31"/>
        <v>53.38</v>
      </c>
      <c r="DA279">
        <f t="shared" si="32"/>
        <v>1</v>
      </c>
      <c r="DB279">
        <f t="shared" si="25"/>
        <v>0.6</v>
      </c>
      <c r="DC279">
        <f t="shared" si="26"/>
        <v>0</v>
      </c>
    </row>
    <row r="280" spans="1:107" x14ac:dyDescent="0.2">
      <c r="A280">
        <f>ROW(Source!A527)</f>
        <v>527</v>
      </c>
      <c r="B280">
        <v>38799519</v>
      </c>
      <c r="C280">
        <v>38801288</v>
      </c>
      <c r="D280">
        <v>38465422</v>
      </c>
      <c r="E280">
        <v>1</v>
      </c>
      <c r="F280">
        <v>1</v>
      </c>
      <c r="G280">
        <v>27</v>
      </c>
      <c r="H280">
        <v>3</v>
      </c>
      <c r="I280" t="s">
        <v>514</v>
      </c>
      <c r="J280" t="s">
        <v>515</v>
      </c>
      <c r="K280" t="s">
        <v>516</v>
      </c>
      <c r="L280">
        <v>1339</v>
      </c>
      <c r="N280">
        <v>1007</v>
      </c>
      <c r="O280" t="s">
        <v>35</v>
      </c>
      <c r="P280" t="s">
        <v>35</v>
      </c>
      <c r="Q280">
        <v>1</v>
      </c>
      <c r="W280">
        <v>0</v>
      </c>
      <c r="X280">
        <v>-611409894</v>
      </c>
      <c r="Y280">
        <v>5.5300000000000002E-3</v>
      </c>
      <c r="AA280">
        <v>32.520000000000003</v>
      </c>
      <c r="AB280">
        <v>0</v>
      </c>
      <c r="AC280">
        <v>0</v>
      </c>
      <c r="AD280">
        <v>0</v>
      </c>
      <c r="AE280">
        <v>32.520000000000003</v>
      </c>
      <c r="AF280">
        <v>0</v>
      </c>
      <c r="AG280">
        <v>0</v>
      </c>
      <c r="AH280">
        <v>0</v>
      </c>
      <c r="AI280">
        <v>1</v>
      </c>
      <c r="AJ280">
        <v>1</v>
      </c>
      <c r="AK280">
        <v>1</v>
      </c>
      <c r="AL280">
        <v>1</v>
      </c>
      <c r="AN280">
        <v>0</v>
      </c>
      <c r="AO280">
        <v>1</v>
      </c>
      <c r="AP280">
        <v>0</v>
      </c>
      <c r="AQ280">
        <v>0</v>
      </c>
      <c r="AR280">
        <v>0</v>
      </c>
      <c r="AS280" t="s">
        <v>3</v>
      </c>
      <c r="AT280">
        <v>5.5300000000000002E-3</v>
      </c>
      <c r="AU280" t="s">
        <v>3</v>
      </c>
      <c r="AV280">
        <v>0</v>
      </c>
      <c r="AW280">
        <v>2</v>
      </c>
      <c r="AX280">
        <v>38801319</v>
      </c>
      <c r="AY280">
        <v>1</v>
      </c>
      <c r="AZ280">
        <v>0</v>
      </c>
      <c r="BA280">
        <v>249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CX280">
        <f>Y280*Source!I527</f>
        <v>0.33733000000000002</v>
      </c>
      <c r="CY280">
        <f t="shared" si="30"/>
        <v>32.520000000000003</v>
      </c>
      <c r="CZ280">
        <f t="shared" si="31"/>
        <v>32.520000000000003</v>
      </c>
      <c r="DA280">
        <f t="shared" si="32"/>
        <v>1</v>
      </c>
      <c r="DB280">
        <f t="shared" si="25"/>
        <v>0.18</v>
      </c>
      <c r="DC280">
        <f t="shared" si="26"/>
        <v>0</v>
      </c>
    </row>
    <row r="281" spans="1:107" x14ac:dyDescent="0.2">
      <c r="A281">
        <f>ROW(Source!A530)</f>
        <v>530</v>
      </c>
      <c r="B281">
        <v>38799519</v>
      </c>
      <c r="C281">
        <v>38801323</v>
      </c>
      <c r="D281">
        <v>38451941</v>
      </c>
      <c r="E281">
        <v>27</v>
      </c>
      <c r="F281">
        <v>1</v>
      </c>
      <c r="G281">
        <v>27</v>
      </c>
      <c r="H281">
        <v>1</v>
      </c>
      <c r="I281" t="s">
        <v>387</v>
      </c>
      <c r="J281" t="s">
        <v>3</v>
      </c>
      <c r="K281" t="s">
        <v>388</v>
      </c>
      <c r="L281">
        <v>1191</v>
      </c>
      <c r="N281">
        <v>1013</v>
      </c>
      <c r="O281" t="s">
        <v>389</v>
      </c>
      <c r="P281" t="s">
        <v>389</v>
      </c>
      <c r="Q281">
        <v>1</v>
      </c>
      <c r="W281">
        <v>0</v>
      </c>
      <c r="X281">
        <v>476480486</v>
      </c>
      <c r="Y281">
        <v>2.97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1</v>
      </c>
      <c r="AJ281">
        <v>1</v>
      </c>
      <c r="AK281">
        <v>1</v>
      </c>
      <c r="AL281">
        <v>1</v>
      </c>
      <c r="AN281">
        <v>0</v>
      </c>
      <c r="AO281">
        <v>1</v>
      </c>
      <c r="AP281">
        <v>0</v>
      </c>
      <c r="AQ281">
        <v>0</v>
      </c>
      <c r="AR281">
        <v>0</v>
      </c>
      <c r="AS281" t="s">
        <v>3</v>
      </c>
      <c r="AT281">
        <v>2.97</v>
      </c>
      <c r="AU281" t="s">
        <v>3</v>
      </c>
      <c r="AV281">
        <v>1</v>
      </c>
      <c r="AW281">
        <v>2</v>
      </c>
      <c r="AX281">
        <v>38801332</v>
      </c>
      <c r="AY281">
        <v>1</v>
      </c>
      <c r="AZ281">
        <v>0</v>
      </c>
      <c r="BA281">
        <v>250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CX281">
        <f>Y281*Source!I530</f>
        <v>29.700000000000003</v>
      </c>
      <c r="CY281">
        <f>AD281</f>
        <v>0</v>
      </c>
      <c r="CZ281">
        <f>AH281</f>
        <v>0</v>
      </c>
      <c r="DA281">
        <f>AL281</f>
        <v>1</v>
      </c>
      <c r="DB281">
        <f t="shared" si="25"/>
        <v>0</v>
      </c>
      <c r="DC281">
        <f t="shared" si="26"/>
        <v>0</v>
      </c>
    </row>
    <row r="282" spans="1:107" x14ac:dyDescent="0.2">
      <c r="A282">
        <f>ROW(Source!A530)</f>
        <v>530</v>
      </c>
      <c r="B282">
        <v>38799519</v>
      </c>
      <c r="C282">
        <v>38801323</v>
      </c>
      <c r="D282">
        <v>38464665</v>
      </c>
      <c r="E282">
        <v>1</v>
      </c>
      <c r="F282">
        <v>1</v>
      </c>
      <c r="G282">
        <v>27</v>
      </c>
      <c r="H282">
        <v>2</v>
      </c>
      <c r="I282" t="s">
        <v>586</v>
      </c>
      <c r="J282" t="s">
        <v>587</v>
      </c>
      <c r="K282" t="s">
        <v>588</v>
      </c>
      <c r="L282">
        <v>1368</v>
      </c>
      <c r="N282">
        <v>1011</v>
      </c>
      <c r="O282" t="s">
        <v>393</v>
      </c>
      <c r="P282" t="s">
        <v>393</v>
      </c>
      <c r="Q282">
        <v>1</v>
      </c>
      <c r="W282">
        <v>0</v>
      </c>
      <c r="X282">
        <v>-1425251094</v>
      </c>
      <c r="Y282">
        <v>0.38400000000000001</v>
      </c>
      <c r="AA282">
        <v>0</v>
      </c>
      <c r="AB282">
        <v>351.29</v>
      </c>
      <c r="AC282">
        <v>7.02</v>
      </c>
      <c r="AD282">
        <v>0</v>
      </c>
      <c r="AE282">
        <v>0</v>
      </c>
      <c r="AF282">
        <v>351.29</v>
      </c>
      <c r="AG282">
        <v>7.02</v>
      </c>
      <c r="AH282">
        <v>0</v>
      </c>
      <c r="AI282">
        <v>1</v>
      </c>
      <c r="AJ282">
        <v>1</v>
      </c>
      <c r="AK282">
        <v>1</v>
      </c>
      <c r="AL282">
        <v>1</v>
      </c>
      <c r="AN282">
        <v>0</v>
      </c>
      <c r="AO282">
        <v>1</v>
      </c>
      <c r="AP282">
        <v>0</v>
      </c>
      <c r="AQ282">
        <v>0</v>
      </c>
      <c r="AR282">
        <v>0</v>
      </c>
      <c r="AS282" t="s">
        <v>3</v>
      </c>
      <c r="AT282">
        <v>0.38400000000000001</v>
      </c>
      <c r="AU282" t="s">
        <v>3</v>
      </c>
      <c r="AV282">
        <v>0</v>
      </c>
      <c r="AW282">
        <v>2</v>
      </c>
      <c r="AX282">
        <v>38801333</v>
      </c>
      <c r="AY282">
        <v>1</v>
      </c>
      <c r="AZ282">
        <v>0</v>
      </c>
      <c r="BA282">
        <v>251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CX282">
        <f>Y282*Source!I530</f>
        <v>3.84</v>
      </c>
      <c r="CY282">
        <f>AB282</f>
        <v>351.29</v>
      </c>
      <c r="CZ282">
        <f>AF282</f>
        <v>351.29</v>
      </c>
      <c r="DA282">
        <f>AJ282</f>
        <v>1</v>
      </c>
      <c r="DB282">
        <f t="shared" si="25"/>
        <v>134.9</v>
      </c>
      <c r="DC282">
        <f t="shared" si="26"/>
        <v>2.7</v>
      </c>
    </row>
    <row r="283" spans="1:107" x14ac:dyDescent="0.2">
      <c r="A283">
        <f>ROW(Source!A530)</f>
        <v>530</v>
      </c>
      <c r="B283">
        <v>38799519</v>
      </c>
      <c r="C283">
        <v>38801323</v>
      </c>
      <c r="D283">
        <v>38465050</v>
      </c>
      <c r="E283">
        <v>1</v>
      </c>
      <c r="F283">
        <v>1</v>
      </c>
      <c r="G283">
        <v>27</v>
      </c>
      <c r="H283">
        <v>2</v>
      </c>
      <c r="I283" t="s">
        <v>502</v>
      </c>
      <c r="J283" t="s">
        <v>503</v>
      </c>
      <c r="K283" t="s">
        <v>504</v>
      </c>
      <c r="L283">
        <v>1368</v>
      </c>
      <c r="N283">
        <v>1011</v>
      </c>
      <c r="O283" t="s">
        <v>393</v>
      </c>
      <c r="P283" t="s">
        <v>393</v>
      </c>
      <c r="Q283">
        <v>1</v>
      </c>
      <c r="W283">
        <v>0</v>
      </c>
      <c r="X283">
        <v>-952080715</v>
      </c>
      <c r="Y283">
        <v>0.115</v>
      </c>
      <c r="AA283">
        <v>0</v>
      </c>
      <c r="AB283">
        <v>5.94</v>
      </c>
      <c r="AC283">
        <v>0.02</v>
      </c>
      <c r="AD283">
        <v>0</v>
      </c>
      <c r="AE283">
        <v>0</v>
      </c>
      <c r="AF283">
        <v>5.94</v>
      </c>
      <c r="AG283">
        <v>0.02</v>
      </c>
      <c r="AH283">
        <v>0</v>
      </c>
      <c r="AI283">
        <v>1</v>
      </c>
      <c r="AJ283">
        <v>1</v>
      </c>
      <c r="AK283">
        <v>1</v>
      </c>
      <c r="AL283">
        <v>1</v>
      </c>
      <c r="AN283">
        <v>0</v>
      </c>
      <c r="AO283">
        <v>1</v>
      </c>
      <c r="AP283">
        <v>0</v>
      </c>
      <c r="AQ283">
        <v>0</v>
      </c>
      <c r="AR283">
        <v>0</v>
      </c>
      <c r="AS283" t="s">
        <v>3</v>
      </c>
      <c r="AT283">
        <v>0.115</v>
      </c>
      <c r="AU283" t="s">
        <v>3</v>
      </c>
      <c r="AV283">
        <v>0</v>
      </c>
      <c r="AW283">
        <v>2</v>
      </c>
      <c r="AX283">
        <v>38801334</v>
      </c>
      <c r="AY283">
        <v>1</v>
      </c>
      <c r="AZ283">
        <v>0</v>
      </c>
      <c r="BA283">
        <v>252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CX283">
        <f>Y283*Source!I530</f>
        <v>1.1500000000000001</v>
      </c>
      <c r="CY283">
        <f>AB283</f>
        <v>5.94</v>
      </c>
      <c r="CZ283">
        <f>AF283</f>
        <v>5.94</v>
      </c>
      <c r="DA283">
        <f>AJ283</f>
        <v>1</v>
      </c>
      <c r="DB283">
        <f t="shared" si="25"/>
        <v>0.68</v>
      </c>
      <c r="DC283">
        <f t="shared" si="26"/>
        <v>0</v>
      </c>
    </row>
    <row r="284" spans="1:107" x14ac:dyDescent="0.2">
      <c r="A284">
        <f>ROW(Source!A530)</f>
        <v>530</v>
      </c>
      <c r="B284">
        <v>38799519</v>
      </c>
      <c r="C284">
        <v>38801323</v>
      </c>
      <c r="D284">
        <v>38465073</v>
      </c>
      <c r="E284">
        <v>1</v>
      </c>
      <c r="F284">
        <v>1</v>
      </c>
      <c r="G284">
        <v>27</v>
      </c>
      <c r="H284">
        <v>2</v>
      </c>
      <c r="I284" t="s">
        <v>589</v>
      </c>
      <c r="J284" t="s">
        <v>590</v>
      </c>
      <c r="K284" t="s">
        <v>591</v>
      </c>
      <c r="L284">
        <v>1368</v>
      </c>
      <c r="N284">
        <v>1011</v>
      </c>
      <c r="O284" t="s">
        <v>393</v>
      </c>
      <c r="P284" t="s">
        <v>393</v>
      </c>
      <c r="Q284">
        <v>1</v>
      </c>
      <c r="W284">
        <v>0</v>
      </c>
      <c r="X284">
        <v>527566593</v>
      </c>
      <c r="Y284">
        <v>0.504</v>
      </c>
      <c r="AA284">
        <v>0</v>
      </c>
      <c r="AB284">
        <v>652.16</v>
      </c>
      <c r="AC284">
        <v>581.9</v>
      </c>
      <c r="AD284">
        <v>0</v>
      </c>
      <c r="AE284">
        <v>0</v>
      </c>
      <c r="AF284">
        <v>652.16</v>
      </c>
      <c r="AG284">
        <v>581.9</v>
      </c>
      <c r="AH284">
        <v>0</v>
      </c>
      <c r="AI284">
        <v>1</v>
      </c>
      <c r="AJ284">
        <v>1</v>
      </c>
      <c r="AK284">
        <v>1</v>
      </c>
      <c r="AL284">
        <v>1</v>
      </c>
      <c r="AN284">
        <v>0</v>
      </c>
      <c r="AO284">
        <v>1</v>
      </c>
      <c r="AP284">
        <v>0</v>
      </c>
      <c r="AQ284">
        <v>0</v>
      </c>
      <c r="AR284">
        <v>0</v>
      </c>
      <c r="AS284" t="s">
        <v>3</v>
      </c>
      <c r="AT284">
        <v>0.504</v>
      </c>
      <c r="AU284" t="s">
        <v>3</v>
      </c>
      <c r="AV284">
        <v>0</v>
      </c>
      <c r="AW284">
        <v>2</v>
      </c>
      <c r="AX284">
        <v>38801335</v>
      </c>
      <c r="AY284">
        <v>1</v>
      </c>
      <c r="AZ284">
        <v>0</v>
      </c>
      <c r="BA284">
        <v>253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CX284">
        <f>Y284*Source!I530</f>
        <v>5.04</v>
      </c>
      <c r="CY284">
        <f>AB284</f>
        <v>652.16</v>
      </c>
      <c r="CZ284">
        <f>AF284</f>
        <v>652.16</v>
      </c>
      <c r="DA284">
        <f>AJ284</f>
        <v>1</v>
      </c>
      <c r="DB284">
        <f t="shared" si="25"/>
        <v>328.69</v>
      </c>
      <c r="DC284">
        <f t="shared" si="26"/>
        <v>293.27999999999997</v>
      </c>
    </row>
    <row r="285" spans="1:107" x14ac:dyDescent="0.2">
      <c r="A285">
        <f>ROW(Source!A530)</f>
        <v>530</v>
      </c>
      <c r="B285">
        <v>38799519</v>
      </c>
      <c r="C285">
        <v>38801323</v>
      </c>
      <c r="D285">
        <v>38466030</v>
      </c>
      <c r="E285">
        <v>1</v>
      </c>
      <c r="F285">
        <v>1</v>
      </c>
      <c r="G285">
        <v>27</v>
      </c>
      <c r="H285">
        <v>3</v>
      </c>
      <c r="I285" t="s">
        <v>592</v>
      </c>
      <c r="J285" t="s">
        <v>593</v>
      </c>
      <c r="K285" t="s">
        <v>594</v>
      </c>
      <c r="L285">
        <v>1348</v>
      </c>
      <c r="N285">
        <v>1009</v>
      </c>
      <c r="O285" t="s">
        <v>155</v>
      </c>
      <c r="P285" t="s">
        <v>155</v>
      </c>
      <c r="Q285">
        <v>1000</v>
      </c>
      <c r="W285">
        <v>0</v>
      </c>
      <c r="X285">
        <v>950604455</v>
      </c>
      <c r="Y285">
        <v>1.01E-3</v>
      </c>
      <c r="AA285">
        <v>38268.54</v>
      </c>
      <c r="AB285">
        <v>0</v>
      </c>
      <c r="AC285">
        <v>0</v>
      </c>
      <c r="AD285">
        <v>0</v>
      </c>
      <c r="AE285">
        <v>38268.54</v>
      </c>
      <c r="AF285">
        <v>0</v>
      </c>
      <c r="AG285">
        <v>0</v>
      </c>
      <c r="AH285">
        <v>0</v>
      </c>
      <c r="AI285">
        <v>1</v>
      </c>
      <c r="AJ285">
        <v>1</v>
      </c>
      <c r="AK285">
        <v>1</v>
      </c>
      <c r="AL285">
        <v>1</v>
      </c>
      <c r="AN285">
        <v>0</v>
      </c>
      <c r="AO285">
        <v>1</v>
      </c>
      <c r="AP285">
        <v>0</v>
      </c>
      <c r="AQ285">
        <v>0</v>
      </c>
      <c r="AR285">
        <v>0</v>
      </c>
      <c r="AS285" t="s">
        <v>3</v>
      </c>
      <c r="AT285">
        <v>1.01E-3</v>
      </c>
      <c r="AU285" t="s">
        <v>3</v>
      </c>
      <c r="AV285">
        <v>0</v>
      </c>
      <c r="AW285">
        <v>2</v>
      </c>
      <c r="AX285">
        <v>38801336</v>
      </c>
      <c r="AY285">
        <v>1</v>
      </c>
      <c r="AZ285">
        <v>0</v>
      </c>
      <c r="BA285">
        <v>254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CX285">
        <f>Y285*Source!I530</f>
        <v>1.0100000000000001E-2</v>
      </c>
      <c r="CY285">
        <f>AA285</f>
        <v>38268.54</v>
      </c>
      <c r="CZ285">
        <f>AE285</f>
        <v>38268.54</v>
      </c>
      <c r="DA285">
        <f>AI285</f>
        <v>1</v>
      </c>
      <c r="DB285">
        <f t="shared" ref="DB285:DB316" si="33">ROUND(ROUND(AT285*CZ285,2),6)</f>
        <v>38.65</v>
      </c>
      <c r="DC285">
        <f t="shared" ref="DC285:DC316" si="34">ROUND(ROUND(AT285*AG285,2),6)</f>
        <v>0</v>
      </c>
    </row>
    <row r="286" spans="1:107" x14ac:dyDescent="0.2">
      <c r="A286">
        <f>ROW(Source!A530)</f>
        <v>530</v>
      </c>
      <c r="B286">
        <v>38799519</v>
      </c>
      <c r="C286">
        <v>38801323</v>
      </c>
      <c r="D286">
        <v>38465888</v>
      </c>
      <c r="E286">
        <v>1</v>
      </c>
      <c r="F286">
        <v>1</v>
      </c>
      <c r="G286">
        <v>27</v>
      </c>
      <c r="H286">
        <v>3</v>
      </c>
      <c r="I286" t="s">
        <v>292</v>
      </c>
      <c r="J286" t="s">
        <v>294</v>
      </c>
      <c r="K286" t="s">
        <v>293</v>
      </c>
      <c r="L286">
        <v>1348</v>
      </c>
      <c r="N286">
        <v>1009</v>
      </c>
      <c r="O286" t="s">
        <v>155</v>
      </c>
      <c r="P286" t="s">
        <v>155</v>
      </c>
      <c r="Q286">
        <v>1000</v>
      </c>
      <c r="W286">
        <v>0</v>
      </c>
      <c r="X286">
        <v>609371884</v>
      </c>
      <c r="Y286">
        <v>0.14899999999999999</v>
      </c>
      <c r="AA286">
        <v>37537.54</v>
      </c>
      <c r="AB286">
        <v>0</v>
      </c>
      <c r="AC286">
        <v>0</v>
      </c>
      <c r="AD286">
        <v>0</v>
      </c>
      <c r="AE286">
        <v>37537.54</v>
      </c>
      <c r="AF286">
        <v>0</v>
      </c>
      <c r="AG286">
        <v>0</v>
      </c>
      <c r="AH286">
        <v>0</v>
      </c>
      <c r="AI286">
        <v>1</v>
      </c>
      <c r="AJ286">
        <v>1</v>
      </c>
      <c r="AK286">
        <v>1</v>
      </c>
      <c r="AL286">
        <v>1</v>
      </c>
      <c r="AN286">
        <v>0</v>
      </c>
      <c r="AO286">
        <v>1</v>
      </c>
      <c r="AP286">
        <v>0</v>
      </c>
      <c r="AQ286">
        <v>0</v>
      </c>
      <c r="AR286">
        <v>0</v>
      </c>
      <c r="AS286" t="s">
        <v>3</v>
      </c>
      <c r="AT286">
        <v>0.14899999999999999</v>
      </c>
      <c r="AU286" t="s">
        <v>3</v>
      </c>
      <c r="AV286">
        <v>0</v>
      </c>
      <c r="AW286">
        <v>2</v>
      </c>
      <c r="AX286">
        <v>38801337</v>
      </c>
      <c r="AY286">
        <v>1</v>
      </c>
      <c r="AZ286">
        <v>0</v>
      </c>
      <c r="BA286">
        <v>255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CX286">
        <f>Y286*Source!I530</f>
        <v>1.49</v>
      </c>
      <c r="CY286">
        <f>AA286</f>
        <v>37537.54</v>
      </c>
      <c r="CZ286">
        <f>AE286</f>
        <v>37537.54</v>
      </c>
      <c r="DA286">
        <f>AI286</f>
        <v>1</v>
      </c>
      <c r="DB286">
        <f t="shared" si="33"/>
        <v>5593.09</v>
      </c>
      <c r="DC286">
        <f t="shared" si="34"/>
        <v>0</v>
      </c>
    </row>
    <row r="287" spans="1:107" x14ac:dyDescent="0.2">
      <c r="A287">
        <f>ROW(Source!A530)</f>
        <v>530</v>
      </c>
      <c r="B287">
        <v>38799519</v>
      </c>
      <c r="C287">
        <v>38801323</v>
      </c>
      <c r="D287">
        <v>38467018</v>
      </c>
      <c r="E287">
        <v>1</v>
      </c>
      <c r="F287">
        <v>1</v>
      </c>
      <c r="G287">
        <v>27</v>
      </c>
      <c r="H287">
        <v>3</v>
      </c>
      <c r="I287" t="s">
        <v>496</v>
      </c>
      <c r="J287" t="s">
        <v>497</v>
      </c>
      <c r="K287" t="s">
        <v>498</v>
      </c>
      <c r="L287">
        <v>1348</v>
      </c>
      <c r="N287">
        <v>1009</v>
      </c>
      <c r="O287" t="s">
        <v>155</v>
      </c>
      <c r="P287" t="s">
        <v>155</v>
      </c>
      <c r="Q287">
        <v>1000</v>
      </c>
      <c r="W287">
        <v>0</v>
      </c>
      <c r="X287">
        <v>-941081254</v>
      </c>
      <c r="Y287">
        <v>5.0000000000000001E-4</v>
      </c>
      <c r="AA287">
        <v>110781.14</v>
      </c>
      <c r="AB287">
        <v>0</v>
      </c>
      <c r="AC287">
        <v>0</v>
      </c>
      <c r="AD287">
        <v>0</v>
      </c>
      <c r="AE287">
        <v>110781.14</v>
      </c>
      <c r="AF287">
        <v>0</v>
      </c>
      <c r="AG287">
        <v>0</v>
      </c>
      <c r="AH287">
        <v>0</v>
      </c>
      <c r="AI287">
        <v>1</v>
      </c>
      <c r="AJ287">
        <v>1</v>
      </c>
      <c r="AK287">
        <v>1</v>
      </c>
      <c r="AL287">
        <v>1</v>
      </c>
      <c r="AN287">
        <v>0</v>
      </c>
      <c r="AO287">
        <v>1</v>
      </c>
      <c r="AP287">
        <v>0</v>
      </c>
      <c r="AQ287">
        <v>0</v>
      </c>
      <c r="AR287">
        <v>0</v>
      </c>
      <c r="AS287" t="s">
        <v>3</v>
      </c>
      <c r="AT287">
        <v>5.0000000000000001E-4</v>
      </c>
      <c r="AU287" t="s">
        <v>3</v>
      </c>
      <c r="AV287">
        <v>0</v>
      </c>
      <c r="AW287">
        <v>2</v>
      </c>
      <c r="AX287">
        <v>38801338</v>
      </c>
      <c r="AY287">
        <v>1</v>
      </c>
      <c r="AZ287">
        <v>0</v>
      </c>
      <c r="BA287">
        <v>256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CX287">
        <f>Y287*Source!I530</f>
        <v>5.0000000000000001E-3</v>
      </c>
      <c r="CY287">
        <f>AA287</f>
        <v>110781.14</v>
      </c>
      <c r="CZ287">
        <f>AE287</f>
        <v>110781.14</v>
      </c>
      <c r="DA287">
        <f>AI287</f>
        <v>1</v>
      </c>
      <c r="DB287">
        <f t="shared" si="33"/>
        <v>55.39</v>
      </c>
      <c r="DC287">
        <f t="shared" si="34"/>
        <v>0</v>
      </c>
    </row>
    <row r="288" spans="1:107" x14ac:dyDescent="0.2">
      <c r="A288">
        <f>ROW(Source!A530)</f>
        <v>530</v>
      </c>
      <c r="B288">
        <v>38799519</v>
      </c>
      <c r="C288">
        <v>38801323</v>
      </c>
      <c r="D288">
        <v>38469339</v>
      </c>
      <c r="E288">
        <v>1</v>
      </c>
      <c r="F288">
        <v>1</v>
      </c>
      <c r="G288">
        <v>27</v>
      </c>
      <c r="H288">
        <v>3</v>
      </c>
      <c r="I288" t="s">
        <v>595</v>
      </c>
      <c r="J288" t="s">
        <v>596</v>
      </c>
      <c r="K288" t="s">
        <v>597</v>
      </c>
      <c r="L288">
        <v>1354</v>
      </c>
      <c r="N288">
        <v>1010</v>
      </c>
      <c r="O288" t="s">
        <v>198</v>
      </c>
      <c r="P288" t="s">
        <v>198</v>
      </c>
      <c r="Q288">
        <v>1</v>
      </c>
      <c r="W288">
        <v>0</v>
      </c>
      <c r="X288">
        <v>1030269180</v>
      </c>
      <c r="Y288">
        <v>1.4E-2</v>
      </c>
      <c r="AA288">
        <v>16.54</v>
      </c>
      <c r="AB288">
        <v>0</v>
      </c>
      <c r="AC288">
        <v>0</v>
      </c>
      <c r="AD288">
        <v>0</v>
      </c>
      <c r="AE288">
        <v>16.54</v>
      </c>
      <c r="AF288">
        <v>0</v>
      </c>
      <c r="AG288">
        <v>0</v>
      </c>
      <c r="AH288">
        <v>0</v>
      </c>
      <c r="AI288">
        <v>1</v>
      </c>
      <c r="AJ288">
        <v>1</v>
      </c>
      <c r="AK288">
        <v>1</v>
      </c>
      <c r="AL288">
        <v>1</v>
      </c>
      <c r="AN288">
        <v>0</v>
      </c>
      <c r="AO288">
        <v>1</v>
      </c>
      <c r="AP288">
        <v>0</v>
      </c>
      <c r="AQ288">
        <v>0</v>
      </c>
      <c r="AR288">
        <v>0</v>
      </c>
      <c r="AS288" t="s">
        <v>3</v>
      </c>
      <c r="AT288">
        <v>1.4E-2</v>
      </c>
      <c r="AU288" t="s">
        <v>3</v>
      </c>
      <c r="AV288">
        <v>0</v>
      </c>
      <c r="AW288">
        <v>2</v>
      </c>
      <c r="AX288">
        <v>38801339</v>
      </c>
      <c r="AY288">
        <v>1</v>
      </c>
      <c r="AZ288">
        <v>0</v>
      </c>
      <c r="BA288">
        <v>257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CX288">
        <f>Y288*Source!I530</f>
        <v>0.14000000000000001</v>
      </c>
      <c r="CY288">
        <f>AA288</f>
        <v>16.54</v>
      </c>
      <c r="CZ288">
        <f>AE288</f>
        <v>16.54</v>
      </c>
      <c r="DA288">
        <f>AI288</f>
        <v>1</v>
      </c>
      <c r="DB288">
        <f t="shared" si="33"/>
        <v>0.23</v>
      </c>
      <c r="DC288">
        <f t="shared" si="34"/>
        <v>0</v>
      </c>
    </row>
    <row r="289" spans="1:107" x14ac:dyDescent="0.2">
      <c r="A289">
        <f>ROW(Source!A531)</f>
        <v>531</v>
      </c>
      <c r="B289">
        <v>38799519</v>
      </c>
      <c r="C289">
        <v>38801340</v>
      </c>
      <c r="D289">
        <v>38451941</v>
      </c>
      <c r="E289">
        <v>27</v>
      </c>
      <c r="F289">
        <v>1</v>
      </c>
      <c r="G289">
        <v>27</v>
      </c>
      <c r="H289">
        <v>1</v>
      </c>
      <c r="I289" t="s">
        <v>387</v>
      </c>
      <c r="J289" t="s">
        <v>3</v>
      </c>
      <c r="K289" t="s">
        <v>388</v>
      </c>
      <c r="L289">
        <v>1191</v>
      </c>
      <c r="N289">
        <v>1013</v>
      </c>
      <c r="O289" t="s">
        <v>389</v>
      </c>
      <c r="P289" t="s">
        <v>389</v>
      </c>
      <c r="Q289">
        <v>1</v>
      </c>
      <c r="W289">
        <v>0</v>
      </c>
      <c r="X289">
        <v>476480486</v>
      </c>
      <c r="Y289">
        <v>73.8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1</v>
      </c>
      <c r="AJ289">
        <v>1</v>
      </c>
      <c r="AK289">
        <v>1</v>
      </c>
      <c r="AL289">
        <v>1</v>
      </c>
      <c r="AN289">
        <v>0</v>
      </c>
      <c r="AO289">
        <v>1</v>
      </c>
      <c r="AP289">
        <v>0</v>
      </c>
      <c r="AQ289">
        <v>0</v>
      </c>
      <c r="AR289">
        <v>0</v>
      </c>
      <c r="AS289" t="s">
        <v>3</v>
      </c>
      <c r="AT289">
        <v>73.8</v>
      </c>
      <c r="AU289" t="s">
        <v>3</v>
      </c>
      <c r="AV289">
        <v>1</v>
      </c>
      <c r="AW289">
        <v>2</v>
      </c>
      <c r="AX289">
        <v>38801344</v>
      </c>
      <c r="AY289">
        <v>1</v>
      </c>
      <c r="AZ289">
        <v>0</v>
      </c>
      <c r="BA289">
        <v>258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CX289">
        <f>Y289*Source!I531</f>
        <v>333.57599999999996</v>
      </c>
      <c r="CY289">
        <f>AD289</f>
        <v>0</v>
      </c>
      <c r="CZ289">
        <f>AH289</f>
        <v>0</v>
      </c>
      <c r="DA289">
        <f>AL289</f>
        <v>1</v>
      </c>
      <c r="DB289">
        <f t="shared" si="33"/>
        <v>0</v>
      </c>
      <c r="DC289">
        <f t="shared" si="34"/>
        <v>0</v>
      </c>
    </row>
    <row r="290" spans="1:107" x14ac:dyDescent="0.2">
      <c r="A290">
        <f>ROW(Source!A531)</f>
        <v>531</v>
      </c>
      <c r="B290">
        <v>38799519</v>
      </c>
      <c r="C290">
        <v>38801340</v>
      </c>
      <c r="D290">
        <v>38465557</v>
      </c>
      <c r="E290">
        <v>1</v>
      </c>
      <c r="F290">
        <v>1</v>
      </c>
      <c r="G290">
        <v>27</v>
      </c>
      <c r="H290">
        <v>3</v>
      </c>
      <c r="I290" t="s">
        <v>613</v>
      </c>
      <c r="J290" t="s">
        <v>614</v>
      </c>
      <c r="K290" t="s">
        <v>615</v>
      </c>
      <c r="L290">
        <v>1348</v>
      </c>
      <c r="N290">
        <v>1009</v>
      </c>
      <c r="O290" t="s">
        <v>155</v>
      </c>
      <c r="P290" t="s">
        <v>155</v>
      </c>
      <c r="Q290">
        <v>1000</v>
      </c>
      <c r="W290">
        <v>0</v>
      </c>
      <c r="X290">
        <v>-1653882522</v>
      </c>
      <c r="Y290">
        <v>1.1299999999999999E-2</v>
      </c>
      <c r="AA290">
        <v>68627.56</v>
      </c>
      <c r="AB290">
        <v>0</v>
      </c>
      <c r="AC290">
        <v>0</v>
      </c>
      <c r="AD290">
        <v>0</v>
      </c>
      <c r="AE290">
        <v>68627.56</v>
      </c>
      <c r="AF290">
        <v>0</v>
      </c>
      <c r="AG290">
        <v>0</v>
      </c>
      <c r="AH290">
        <v>0</v>
      </c>
      <c r="AI290">
        <v>1</v>
      </c>
      <c r="AJ290">
        <v>1</v>
      </c>
      <c r="AK290">
        <v>1</v>
      </c>
      <c r="AL290">
        <v>1</v>
      </c>
      <c r="AN290">
        <v>0</v>
      </c>
      <c r="AO290">
        <v>1</v>
      </c>
      <c r="AP290">
        <v>0</v>
      </c>
      <c r="AQ290">
        <v>0</v>
      </c>
      <c r="AR290">
        <v>0</v>
      </c>
      <c r="AS290" t="s">
        <v>3</v>
      </c>
      <c r="AT290">
        <v>1.1299999999999999E-2</v>
      </c>
      <c r="AU290" t="s">
        <v>3</v>
      </c>
      <c r="AV290">
        <v>0</v>
      </c>
      <c r="AW290">
        <v>2</v>
      </c>
      <c r="AX290">
        <v>38801345</v>
      </c>
      <c r="AY290">
        <v>1</v>
      </c>
      <c r="AZ290">
        <v>0</v>
      </c>
      <c r="BA290">
        <v>259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CX290">
        <f>Y290*Source!I531</f>
        <v>5.1075999999999989E-2</v>
      </c>
      <c r="CY290">
        <f>AA290</f>
        <v>68627.56</v>
      </c>
      <c r="CZ290">
        <f>AE290</f>
        <v>68627.56</v>
      </c>
      <c r="DA290">
        <f>AI290</f>
        <v>1</v>
      </c>
      <c r="DB290">
        <f t="shared" si="33"/>
        <v>775.49</v>
      </c>
      <c r="DC290">
        <f t="shared" si="34"/>
        <v>0</v>
      </c>
    </row>
    <row r="291" spans="1:107" x14ac:dyDescent="0.2">
      <c r="A291">
        <f>ROW(Source!A531)</f>
        <v>531</v>
      </c>
      <c r="B291">
        <v>38799519</v>
      </c>
      <c r="C291">
        <v>38801340</v>
      </c>
      <c r="D291">
        <v>38465600</v>
      </c>
      <c r="E291">
        <v>1</v>
      </c>
      <c r="F291">
        <v>1</v>
      </c>
      <c r="G291">
        <v>27</v>
      </c>
      <c r="H291">
        <v>3</v>
      </c>
      <c r="I291" t="s">
        <v>532</v>
      </c>
      <c r="J291" t="s">
        <v>533</v>
      </c>
      <c r="K291" t="s">
        <v>534</v>
      </c>
      <c r="L291">
        <v>1346</v>
      </c>
      <c r="N291">
        <v>1009</v>
      </c>
      <c r="O291" t="s">
        <v>474</v>
      </c>
      <c r="P291" t="s">
        <v>474</v>
      </c>
      <c r="Q291">
        <v>1</v>
      </c>
      <c r="W291">
        <v>0</v>
      </c>
      <c r="X291">
        <v>1572261892</v>
      </c>
      <c r="Y291">
        <v>6.8</v>
      </c>
      <c r="AA291">
        <v>78.180000000000007</v>
      </c>
      <c r="AB291">
        <v>0</v>
      </c>
      <c r="AC291">
        <v>0</v>
      </c>
      <c r="AD291">
        <v>0</v>
      </c>
      <c r="AE291">
        <v>78.180000000000007</v>
      </c>
      <c r="AF291">
        <v>0</v>
      </c>
      <c r="AG291">
        <v>0</v>
      </c>
      <c r="AH291">
        <v>0</v>
      </c>
      <c r="AI291">
        <v>1</v>
      </c>
      <c r="AJ291">
        <v>1</v>
      </c>
      <c r="AK291">
        <v>1</v>
      </c>
      <c r="AL291">
        <v>1</v>
      </c>
      <c r="AN291">
        <v>0</v>
      </c>
      <c r="AO291">
        <v>1</v>
      </c>
      <c r="AP291">
        <v>0</v>
      </c>
      <c r="AQ291">
        <v>0</v>
      </c>
      <c r="AR291">
        <v>0</v>
      </c>
      <c r="AS291" t="s">
        <v>3</v>
      </c>
      <c r="AT291">
        <v>6.8</v>
      </c>
      <c r="AU291" t="s">
        <v>3</v>
      </c>
      <c r="AV291">
        <v>0</v>
      </c>
      <c r="AW291">
        <v>2</v>
      </c>
      <c r="AX291">
        <v>38801346</v>
      </c>
      <c r="AY291">
        <v>1</v>
      </c>
      <c r="AZ291">
        <v>0</v>
      </c>
      <c r="BA291">
        <v>260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CX291">
        <f>Y291*Source!I531</f>
        <v>30.735999999999997</v>
      </c>
      <c r="CY291">
        <f>AA291</f>
        <v>78.180000000000007</v>
      </c>
      <c r="CZ291">
        <f>AE291</f>
        <v>78.180000000000007</v>
      </c>
      <c r="DA291">
        <f>AI291</f>
        <v>1</v>
      </c>
      <c r="DB291">
        <f t="shared" si="33"/>
        <v>531.62</v>
      </c>
      <c r="DC291">
        <f t="shared" si="34"/>
        <v>0</v>
      </c>
    </row>
    <row r="292" spans="1:107" x14ac:dyDescent="0.2">
      <c r="A292">
        <f>ROW(Source!A532)</f>
        <v>532</v>
      </c>
      <c r="B292">
        <v>38799519</v>
      </c>
      <c r="C292">
        <v>38801347</v>
      </c>
      <c r="D292">
        <v>38451941</v>
      </c>
      <c r="E292">
        <v>27</v>
      </c>
      <c r="F292">
        <v>1</v>
      </c>
      <c r="G292">
        <v>27</v>
      </c>
      <c r="H292">
        <v>1</v>
      </c>
      <c r="I292" t="s">
        <v>387</v>
      </c>
      <c r="J292" t="s">
        <v>3</v>
      </c>
      <c r="K292" t="s">
        <v>388</v>
      </c>
      <c r="L292">
        <v>1191</v>
      </c>
      <c r="N292">
        <v>1013</v>
      </c>
      <c r="O292" t="s">
        <v>389</v>
      </c>
      <c r="P292" t="s">
        <v>389</v>
      </c>
      <c r="Q292">
        <v>1</v>
      </c>
      <c r="W292">
        <v>0</v>
      </c>
      <c r="X292">
        <v>476480486</v>
      </c>
      <c r="Y292">
        <v>91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</v>
      </c>
      <c r="AJ292">
        <v>1</v>
      </c>
      <c r="AK292">
        <v>1</v>
      </c>
      <c r="AL292">
        <v>1</v>
      </c>
      <c r="AN292">
        <v>0</v>
      </c>
      <c r="AO292">
        <v>1</v>
      </c>
      <c r="AP292">
        <v>0</v>
      </c>
      <c r="AQ292">
        <v>0</v>
      </c>
      <c r="AR292">
        <v>0</v>
      </c>
      <c r="AS292" t="s">
        <v>3</v>
      </c>
      <c r="AT292">
        <v>91</v>
      </c>
      <c r="AU292" t="s">
        <v>3</v>
      </c>
      <c r="AV292">
        <v>1</v>
      </c>
      <c r="AW292">
        <v>2</v>
      </c>
      <c r="AX292">
        <v>38801362</v>
      </c>
      <c r="AY292">
        <v>1</v>
      </c>
      <c r="AZ292">
        <v>0</v>
      </c>
      <c r="BA292">
        <v>261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CX292">
        <f>Y292*Source!I532</f>
        <v>411.31999999999994</v>
      </c>
      <c r="CY292">
        <f>AD292</f>
        <v>0</v>
      </c>
      <c r="CZ292">
        <f>AH292</f>
        <v>0</v>
      </c>
      <c r="DA292">
        <f>AL292</f>
        <v>1</v>
      </c>
      <c r="DB292">
        <f t="shared" si="33"/>
        <v>0</v>
      </c>
      <c r="DC292">
        <f t="shared" si="34"/>
        <v>0</v>
      </c>
    </row>
    <row r="293" spans="1:107" x14ac:dyDescent="0.2">
      <c r="A293">
        <f>ROW(Source!A532)</f>
        <v>532</v>
      </c>
      <c r="B293">
        <v>38799519</v>
      </c>
      <c r="C293">
        <v>38801347</v>
      </c>
      <c r="D293">
        <v>38465122</v>
      </c>
      <c r="E293">
        <v>1</v>
      </c>
      <c r="F293">
        <v>1</v>
      </c>
      <c r="G293">
        <v>27</v>
      </c>
      <c r="H293">
        <v>2</v>
      </c>
      <c r="I293" t="s">
        <v>456</v>
      </c>
      <c r="J293" t="s">
        <v>457</v>
      </c>
      <c r="K293" t="s">
        <v>458</v>
      </c>
      <c r="L293">
        <v>1368</v>
      </c>
      <c r="N293">
        <v>1011</v>
      </c>
      <c r="O293" t="s">
        <v>393</v>
      </c>
      <c r="P293" t="s">
        <v>393</v>
      </c>
      <c r="Q293">
        <v>1</v>
      </c>
      <c r="W293">
        <v>0</v>
      </c>
      <c r="X293">
        <v>-1222982568</v>
      </c>
      <c r="Y293">
        <v>11.96</v>
      </c>
      <c r="AA293">
        <v>0</v>
      </c>
      <c r="AB293">
        <v>7.44</v>
      </c>
      <c r="AC293">
        <v>0.98</v>
      </c>
      <c r="AD293">
        <v>0</v>
      </c>
      <c r="AE293">
        <v>0</v>
      </c>
      <c r="AF293">
        <v>7.44</v>
      </c>
      <c r="AG293">
        <v>0.98</v>
      </c>
      <c r="AH293">
        <v>0</v>
      </c>
      <c r="AI293">
        <v>1</v>
      </c>
      <c r="AJ293">
        <v>1</v>
      </c>
      <c r="AK293">
        <v>1</v>
      </c>
      <c r="AL293">
        <v>1</v>
      </c>
      <c r="AN293">
        <v>0</v>
      </c>
      <c r="AO293">
        <v>1</v>
      </c>
      <c r="AP293">
        <v>0</v>
      </c>
      <c r="AQ293">
        <v>0</v>
      </c>
      <c r="AR293">
        <v>0</v>
      </c>
      <c r="AS293" t="s">
        <v>3</v>
      </c>
      <c r="AT293">
        <v>11.96</v>
      </c>
      <c r="AU293" t="s">
        <v>3</v>
      </c>
      <c r="AV293">
        <v>0</v>
      </c>
      <c r="AW293">
        <v>2</v>
      </c>
      <c r="AX293">
        <v>38801363</v>
      </c>
      <c r="AY293">
        <v>1</v>
      </c>
      <c r="AZ293">
        <v>0</v>
      </c>
      <c r="BA293">
        <v>262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CX293">
        <f>Y293*Source!I532</f>
        <v>54.059199999999997</v>
      </c>
      <c r="CY293">
        <f>AB293</f>
        <v>7.44</v>
      </c>
      <c r="CZ293">
        <f>AF293</f>
        <v>7.44</v>
      </c>
      <c r="DA293">
        <f>AJ293</f>
        <v>1</v>
      </c>
      <c r="DB293">
        <f t="shared" si="33"/>
        <v>88.98</v>
      </c>
      <c r="DC293">
        <f t="shared" si="34"/>
        <v>11.72</v>
      </c>
    </row>
    <row r="294" spans="1:107" x14ac:dyDescent="0.2">
      <c r="A294">
        <f>ROW(Source!A532)</f>
        <v>532</v>
      </c>
      <c r="B294">
        <v>38799519</v>
      </c>
      <c r="C294">
        <v>38801347</v>
      </c>
      <c r="D294">
        <v>38465064</v>
      </c>
      <c r="E294">
        <v>1</v>
      </c>
      <c r="F294">
        <v>1</v>
      </c>
      <c r="G294">
        <v>27</v>
      </c>
      <c r="H294">
        <v>2</v>
      </c>
      <c r="I294" t="s">
        <v>535</v>
      </c>
      <c r="J294" t="s">
        <v>536</v>
      </c>
      <c r="K294" t="s">
        <v>537</v>
      </c>
      <c r="L294">
        <v>1368</v>
      </c>
      <c r="N294">
        <v>1011</v>
      </c>
      <c r="O294" t="s">
        <v>393</v>
      </c>
      <c r="P294" t="s">
        <v>393</v>
      </c>
      <c r="Q294">
        <v>1</v>
      </c>
      <c r="W294">
        <v>0</v>
      </c>
      <c r="X294">
        <v>-1882981761</v>
      </c>
      <c r="Y294">
        <v>2.0499999999999998</v>
      </c>
      <c r="AA294">
        <v>0</v>
      </c>
      <c r="AB294">
        <v>4.58</v>
      </c>
      <c r="AC294">
        <v>0.01</v>
      </c>
      <c r="AD294">
        <v>0</v>
      </c>
      <c r="AE294">
        <v>0</v>
      </c>
      <c r="AF294">
        <v>4.58</v>
      </c>
      <c r="AG294">
        <v>0.01</v>
      </c>
      <c r="AH294">
        <v>0</v>
      </c>
      <c r="AI294">
        <v>1</v>
      </c>
      <c r="AJ294">
        <v>1</v>
      </c>
      <c r="AK294">
        <v>1</v>
      </c>
      <c r="AL294">
        <v>1</v>
      </c>
      <c r="AN294">
        <v>0</v>
      </c>
      <c r="AO294">
        <v>1</v>
      </c>
      <c r="AP294">
        <v>0</v>
      </c>
      <c r="AQ294">
        <v>0</v>
      </c>
      <c r="AR294">
        <v>0</v>
      </c>
      <c r="AS294" t="s">
        <v>3</v>
      </c>
      <c r="AT294">
        <v>2.0499999999999998</v>
      </c>
      <c r="AU294" t="s">
        <v>3</v>
      </c>
      <c r="AV294">
        <v>0</v>
      </c>
      <c r="AW294">
        <v>2</v>
      </c>
      <c r="AX294">
        <v>38801364</v>
      </c>
      <c r="AY294">
        <v>1</v>
      </c>
      <c r="AZ294">
        <v>0</v>
      </c>
      <c r="BA294">
        <v>263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CX294">
        <f>Y294*Source!I532</f>
        <v>9.2659999999999982</v>
      </c>
      <c r="CY294">
        <f>AB294</f>
        <v>4.58</v>
      </c>
      <c r="CZ294">
        <f>AF294</f>
        <v>4.58</v>
      </c>
      <c r="DA294">
        <f>AJ294</f>
        <v>1</v>
      </c>
      <c r="DB294">
        <f t="shared" si="33"/>
        <v>9.39</v>
      </c>
      <c r="DC294">
        <f t="shared" si="34"/>
        <v>0.02</v>
      </c>
    </row>
    <row r="295" spans="1:107" x14ac:dyDescent="0.2">
      <c r="A295">
        <f>ROW(Source!A532)</f>
        <v>532</v>
      </c>
      <c r="B295">
        <v>38799519</v>
      </c>
      <c r="C295">
        <v>38801347</v>
      </c>
      <c r="D295">
        <v>38465084</v>
      </c>
      <c r="E295">
        <v>1</v>
      </c>
      <c r="F295">
        <v>1</v>
      </c>
      <c r="G295">
        <v>27</v>
      </c>
      <c r="H295">
        <v>2</v>
      </c>
      <c r="I295" t="s">
        <v>538</v>
      </c>
      <c r="J295" t="s">
        <v>539</v>
      </c>
      <c r="K295" t="s">
        <v>540</v>
      </c>
      <c r="L295">
        <v>1368</v>
      </c>
      <c r="N295">
        <v>1011</v>
      </c>
      <c r="O295" t="s">
        <v>393</v>
      </c>
      <c r="P295" t="s">
        <v>393</v>
      </c>
      <c r="Q295">
        <v>1</v>
      </c>
      <c r="W295">
        <v>0</v>
      </c>
      <c r="X295">
        <v>-1816839109</v>
      </c>
      <c r="Y295">
        <v>2.4</v>
      </c>
      <c r="AA295">
        <v>0</v>
      </c>
      <c r="AB295">
        <v>5.08</v>
      </c>
      <c r="AC295">
        <v>0.01</v>
      </c>
      <c r="AD295">
        <v>0</v>
      </c>
      <c r="AE295">
        <v>0</v>
      </c>
      <c r="AF295">
        <v>5.08</v>
      </c>
      <c r="AG295">
        <v>0.01</v>
      </c>
      <c r="AH295">
        <v>0</v>
      </c>
      <c r="AI295">
        <v>1</v>
      </c>
      <c r="AJ295">
        <v>1</v>
      </c>
      <c r="AK295">
        <v>1</v>
      </c>
      <c r="AL295">
        <v>1</v>
      </c>
      <c r="AN295">
        <v>0</v>
      </c>
      <c r="AO295">
        <v>1</v>
      </c>
      <c r="AP295">
        <v>0</v>
      </c>
      <c r="AQ295">
        <v>0</v>
      </c>
      <c r="AR295">
        <v>0</v>
      </c>
      <c r="AS295" t="s">
        <v>3</v>
      </c>
      <c r="AT295">
        <v>2.4</v>
      </c>
      <c r="AU295" t="s">
        <v>3</v>
      </c>
      <c r="AV295">
        <v>0</v>
      </c>
      <c r="AW295">
        <v>2</v>
      </c>
      <c r="AX295">
        <v>38801365</v>
      </c>
      <c r="AY295">
        <v>1</v>
      </c>
      <c r="AZ295">
        <v>0</v>
      </c>
      <c r="BA295">
        <v>264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CX295">
        <f>Y295*Source!I532</f>
        <v>10.847999999999999</v>
      </c>
      <c r="CY295">
        <f>AB295</f>
        <v>5.08</v>
      </c>
      <c r="CZ295">
        <f>AF295</f>
        <v>5.08</v>
      </c>
      <c r="DA295">
        <f>AJ295</f>
        <v>1</v>
      </c>
      <c r="DB295">
        <f t="shared" si="33"/>
        <v>12.19</v>
      </c>
      <c r="DC295">
        <f t="shared" si="34"/>
        <v>0.02</v>
      </c>
    </row>
    <row r="296" spans="1:107" x14ac:dyDescent="0.2">
      <c r="A296">
        <f>ROW(Source!A532)</f>
        <v>532</v>
      </c>
      <c r="B296">
        <v>38799519</v>
      </c>
      <c r="C296">
        <v>38801347</v>
      </c>
      <c r="D296">
        <v>38466764</v>
      </c>
      <c r="E296">
        <v>1</v>
      </c>
      <c r="F296">
        <v>1</v>
      </c>
      <c r="G296">
        <v>27</v>
      </c>
      <c r="H296">
        <v>3</v>
      </c>
      <c r="I296" t="s">
        <v>541</v>
      </c>
      <c r="J296" t="s">
        <v>542</v>
      </c>
      <c r="K296" t="s">
        <v>543</v>
      </c>
      <c r="L296">
        <v>1301</v>
      </c>
      <c r="N296">
        <v>1003</v>
      </c>
      <c r="O296" t="s">
        <v>121</v>
      </c>
      <c r="P296" t="s">
        <v>121</v>
      </c>
      <c r="Q296">
        <v>1</v>
      </c>
      <c r="W296">
        <v>0</v>
      </c>
      <c r="X296">
        <v>867992357</v>
      </c>
      <c r="Y296">
        <v>43.73</v>
      </c>
      <c r="AA296">
        <v>16.09</v>
      </c>
      <c r="AB296">
        <v>0</v>
      </c>
      <c r="AC296">
        <v>0</v>
      </c>
      <c r="AD296">
        <v>0</v>
      </c>
      <c r="AE296">
        <v>16.09</v>
      </c>
      <c r="AF296">
        <v>0</v>
      </c>
      <c r="AG296">
        <v>0</v>
      </c>
      <c r="AH296">
        <v>0</v>
      </c>
      <c r="AI296">
        <v>1</v>
      </c>
      <c r="AJ296">
        <v>1</v>
      </c>
      <c r="AK296">
        <v>1</v>
      </c>
      <c r="AL296">
        <v>1</v>
      </c>
      <c r="AN296">
        <v>0</v>
      </c>
      <c r="AO296">
        <v>1</v>
      </c>
      <c r="AP296">
        <v>0</v>
      </c>
      <c r="AQ296">
        <v>0</v>
      </c>
      <c r="AR296">
        <v>0</v>
      </c>
      <c r="AS296" t="s">
        <v>3</v>
      </c>
      <c r="AT296">
        <v>43.73</v>
      </c>
      <c r="AU296" t="s">
        <v>3</v>
      </c>
      <c r="AV296">
        <v>0</v>
      </c>
      <c r="AW296">
        <v>2</v>
      </c>
      <c r="AX296">
        <v>38801366</v>
      </c>
      <c r="AY296">
        <v>1</v>
      </c>
      <c r="AZ296">
        <v>0</v>
      </c>
      <c r="BA296">
        <v>265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CX296">
        <f>Y296*Source!I532</f>
        <v>197.65959999999995</v>
      </c>
      <c r="CY296">
        <f t="shared" ref="CY296:CY305" si="35">AA296</f>
        <v>16.09</v>
      </c>
      <c r="CZ296">
        <f t="shared" ref="CZ296:CZ305" si="36">AE296</f>
        <v>16.09</v>
      </c>
      <c r="DA296">
        <f t="shared" ref="DA296:DA305" si="37">AI296</f>
        <v>1</v>
      </c>
      <c r="DB296">
        <f t="shared" si="33"/>
        <v>703.62</v>
      </c>
      <c r="DC296">
        <f t="shared" si="34"/>
        <v>0</v>
      </c>
    </row>
    <row r="297" spans="1:107" x14ac:dyDescent="0.2">
      <c r="A297">
        <f>ROW(Source!A532)</f>
        <v>532</v>
      </c>
      <c r="B297">
        <v>38799519</v>
      </c>
      <c r="C297">
        <v>38801347</v>
      </c>
      <c r="D297">
        <v>38466765</v>
      </c>
      <c r="E297">
        <v>1</v>
      </c>
      <c r="F297">
        <v>1</v>
      </c>
      <c r="G297">
        <v>27</v>
      </c>
      <c r="H297">
        <v>3</v>
      </c>
      <c r="I297" t="s">
        <v>544</v>
      </c>
      <c r="J297" t="s">
        <v>545</v>
      </c>
      <c r="K297" t="s">
        <v>546</v>
      </c>
      <c r="L297">
        <v>1301</v>
      </c>
      <c r="N297">
        <v>1003</v>
      </c>
      <c r="O297" t="s">
        <v>121</v>
      </c>
      <c r="P297" t="s">
        <v>121</v>
      </c>
      <c r="Q297">
        <v>1</v>
      </c>
      <c r="W297">
        <v>0</v>
      </c>
      <c r="X297">
        <v>1705929729</v>
      </c>
      <c r="Y297">
        <v>43.73</v>
      </c>
      <c r="AA297">
        <v>32.99</v>
      </c>
      <c r="AB297">
        <v>0</v>
      </c>
      <c r="AC297">
        <v>0</v>
      </c>
      <c r="AD297">
        <v>0</v>
      </c>
      <c r="AE297">
        <v>32.99</v>
      </c>
      <c r="AF297">
        <v>0</v>
      </c>
      <c r="AG297">
        <v>0</v>
      </c>
      <c r="AH297">
        <v>0</v>
      </c>
      <c r="AI297">
        <v>1</v>
      </c>
      <c r="AJ297">
        <v>1</v>
      </c>
      <c r="AK297">
        <v>1</v>
      </c>
      <c r="AL297">
        <v>1</v>
      </c>
      <c r="AN297">
        <v>0</v>
      </c>
      <c r="AO297">
        <v>1</v>
      </c>
      <c r="AP297">
        <v>0</v>
      </c>
      <c r="AQ297">
        <v>0</v>
      </c>
      <c r="AR297">
        <v>0</v>
      </c>
      <c r="AS297" t="s">
        <v>3</v>
      </c>
      <c r="AT297">
        <v>43.73</v>
      </c>
      <c r="AU297" t="s">
        <v>3</v>
      </c>
      <c r="AV297">
        <v>0</v>
      </c>
      <c r="AW297">
        <v>2</v>
      </c>
      <c r="AX297">
        <v>38801367</v>
      </c>
      <c r="AY297">
        <v>1</v>
      </c>
      <c r="AZ297">
        <v>0</v>
      </c>
      <c r="BA297">
        <v>266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CX297">
        <f>Y297*Source!I532</f>
        <v>197.65959999999995</v>
      </c>
      <c r="CY297">
        <f t="shared" si="35"/>
        <v>32.99</v>
      </c>
      <c r="CZ297">
        <f t="shared" si="36"/>
        <v>32.99</v>
      </c>
      <c r="DA297">
        <f t="shared" si="37"/>
        <v>1</v>
      </c>
      <c r="DB297">
        <f t="shared" si="33"/>
        <v>1442.65</v>
      </c>
      <c r="DC297">
        <f t="shared" si="34"/>
        <v>0</v>
      </c>
    </row>
    <row r="298" spans="1:107" x14ac:dyDescent="0.2">
      <c r="A298">
        <f>ROW(Source!A532)</f>
        <v>532</v>
      </c>
      <c r="B298">
        <v>38799519</v>
      </c>
      <c r="C298">
        <v>38801347</v>
      </c>
      <c r="D298">
        <v>38467855</v>
      </c>
      <c r="E298">
        <v>1</v>
      </c>
      <c r="F298">
        <v>1</v>
      </c>
      <c r="G298">
        <v>27</v>
      </c>
      <c r="H298">
        <v>3</v>
      </c>
      <c r="I298" t="s">
        <v>616</v>
      </c>
      <c r="J298" t="s">
        <v>617</v>
      </c>
      <c r="K298" t="s">
        <v>618</v>
      </c>
      <c r="L298">
        <v>1327</v>
      </c>
      <c r="N298">
        <v>1005</v>
      </c>
      <c r="O298" t="s">
        <v>289</v>
      </c>
      <c r="P298" t="s">
        <v>289</v>
      </c>
      <c r="Q298">
        <v>1</v>
      </c>
      <c r="W298">
        <v>0</v>
      </c>
      <c r="X298">
        <v>-1911815546</v>
      </c>
      <c r="Y298">
        <v>101.5</v>
      </c>
      <c r="AA298">
        <v>463.15</v>
      </c>
      <c r="AB298">
        <v>0</v>
      </c>
      <c r="AC298">
        <v>0</v>
      </c>
      <c r="AD298">
        <v>0</v>
      </c>
      <c r="AE298">
        <v>463.15</v>
      </c>
      <c r="AF298">
        <v>0</v>
      </c>
      <c r="AG298">
        <v>0</v>
      </c>
      <c r="AH298">
        <v>0</v>
      </c>
      <c r="AI298">
        <v>1</v>
      </c>
      <c r="AJ298">
        <v>1</v>
      </c>
      <c r="AK298">
        <v>1</v>
      </c>
      <c r="AL298">
        <v>1</v>
      </c>
      <c r="AN298">
        <v>0</v>
      </c>
      <c r="AO298">
        <v>1</v>
      </c>
      <c r="AP298">
        <v>0</v>
      </c>
      <c r="AQ298">
        <v>0</v>
      </c>
      <c r="AR298">
        <v>0</v>
      </c>
      <c r="AS298" t="s">
        <v>3</v>
      </c>
      <c r="AT298">
        <v>101.5</v>
      </c>
      <c r="AU298" t="s">
        <v>3</v>
      </c>
      <c r="AV298">
        <v>0</v>
      </c>
      <c r="AW298">
        <v>2</v>
      </c>
      <c r="AX298">
        <v>38801368</v>
      </c>
      <c r="AY298">
        <v>1</v>
      </c>
      <c r="AZ298">
        <v>0</v>
      </c>
      <c r="BA298">
        <v>267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CX298">
        <f>Y298*Source!I532</f>
        <v>458.78</v>
      </c>
      <c r="CY298">
        <f t="shared" si="35"/>
        <v>463.15</v>
      </c>
      <c r="CZ298">
        <f t="shared" si="36"/>
        <v>463.15</v>
      </c>
      <c r="DA298">
        <f t="shared" si="37"/>
        <v>1</v>
      </c>
      <c r="DB298">
        <f t="shared" si="33"/>
        <v>47009.73</v>
      </c>
      <c r="DC298">
        <f t="shared" si="34"/>
        <v>0</v>
      </c>
    </row>
    <row r="299" spans="1:107" x14ac:dyDescent="0.2">
      <c r="A299">
        <f>ROW(Source!A532)</f>
        <v>532</v>
      </c>
      <c r="B299">
        <v>38799519</v>
      </c>
      <c r="C299">
        <v>38801347</v>
      </c>
      <c r="D299">
        <v>38467860</v>
      </c>
      <c r="E299">
        <v>1</v>
      </c>
      <c r="F299">
        <v>1</v>
      </c>
      <c r="G299">
        <v>27</v>
      </c>
      <c r="H299">
        <v>3</v>
      </c>
      <c r="I299" t="s">
        <v>619</v>
      </c>
      <c r="J299" t="s">
        <v>620</v>
      </c>
      <c r="K299" t="s">
        <v>621</v>
      </c>
      <c r="L299">
        <v>1301</v>
      </c>
      <c r="N299">
        <v>1003</v>
      </c>
      <c r="O299" t="s">
        <v>121</v>
      </c>
      <c r="P299" t="s">
        <v>121</v>
      </c>
      <c r="Q299">
        <v>1</v>
      </c>
      <c r="W299">
        <v>0</v>
      </c>
      <c r="X299">
        <v>-2092064226</v>
      </c>
      <c r="Y299">
        <v>87.47</v>
      </c>
      <c r="AA299">
        <v>32.47</v>
      </c>
      <c r="AB299">
        <v>0</v>
      </c>
      <c r="AC299">
        <v>0</v>
      </c>
      <c r="AD299">
        <v>0</v>
      </c>
      <c r="AE299">
        <v>32.47</v>
      </c>
      <c r="AF299">
        <v>0</v>
      </c>
      <c r="AG299">
        <v>0</v>
      </c>
      <c r="AH299">
        <v>0</v>
      </c>
      <c r="AI299">
        <v>1</v>
      </c>
      <c r="AJ299">
        <v>1</v>
      </c>
      <c r="AK299">
        <v>1</v>
      </c>
      <c r="AL299">
        <v>1</v>
      </c>
      <c r="AN299">
        <v>0</v>
      </c>
      <c r="AO299">
        <v>1</v>
      </c>
      <c r="AP299">
        <v>0</v>
      </c>
      <c r="AQ299">
        <v>0</v>
      </c>
      <c r="AR299">
        <v>0</v>
      </c>
      <c r="AS299" t="s">
        <v>3</v>
      </c>
      <c r="AT299">
        <v>87.47</v>
      </c>
      <c r="AU299" t="s">
        <v>3</v>
      </c>
      <c r="AV299">
        <v>0</v>
      </c>
      <c r="AW299">
        <v>2</v>
      </c>
      <c r="AX299">
        <v>38801369</v>
      </c>
      <c r="AY299">
        <v>1</v>
      </c>
      <c r="AZ299">
        <v>0</v>
      </c>
      <c r="BA299">
        <v>268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CX299">
        <f>Y299*Source!I532</f>
        <v>395.36439999999993</v>
      </c>
      <c r="CY299">
        <f t="shared" si="35"/>
        <v>32.47</v>
      </c>
      <c r="CZ299">
        <f t="shared" si="36"/>
        <v>32.47</v>
      </c>
      <c r="DA299">
        <f t="shared" si="37"/>
        <v>1</v>
      </c>
      <c r="DB299">
        <f t="shared" si="33"/>
        <v>2840.15</v>
      </c>
      <c r="DC299">
        <f t="shared" si="34"/>
        <v>0</v>
      </c>
    </row>
    <row r="300" spans="1:107" x14ac:dyDescent="0.2">
      <c r="A300">
        <f>ROW(Source!A532)</f>
        <v>532</v>
      </c>
      <c r="B300">
        <v>38799519</v>
      </c>
      <c r="C300">
        <v>38801347</v>
      </c>
      <c r="D300">
        <v>38467560</v>
      </c>
      <c r="E300">
        <v>1</v>
      </c>
      <c r="F300">
        <v>1</v>
      </c>
      <c r="G300">
        <v>27</v>
      </c>
      <c r="H300">
        <v>3</v>
      </c>
      <c r="I300" t="s">
        <v>553</v>
      </c>
      <c r="J300" t="s">
        <v>554</v>
      </c>
      <c r="K300" t="s">
        <v>555</v>
      </c>
      <c r="L300">
        <v>1355</v>
      </c>
      <c r="N300">
        <v>1010</v>
      </c>
      <c r="O300" t="s">
        <v>556</v>
      </c>
      <c r="P300" t="s">
        <v>556</v>
      </c>
      <c r="Q300">
        <v>100</v>
      </c>
      <c r="W300">
        <v>0</v>
      </c>
      <c r="X300">
        <v>456507783</v>
      </c>
      <c r="Y300">
        <v>0.91</v>
      </c>
      <c r="AA300">
        <v>851.18</v>
      </c>
      <c r="AB300">
        <v>0</v>
      </c>
      <c r="AC300">
        <v>0</v>
      </c>
      <c r="AD300">
        <v>0</v>
      </c>
      <c r="AE300">
        <v>851.18</v>
      </c>
      <c r="AF300">
        <v>0</v>
      </c>
      <c r="AG300">
        <v>0</v>
      </c>
      <c r="AH300">
        <v>0</v>
      </c>
      <c r="AI300">
        <v>1</v>
      </c>
      <c r="AJ300">
        <v>1</v>
      </c>
      <c r="AK300">
        <v>1</v>
      </c>
      <c r="AL300">
        <v>1</v>
      </c>
      <c r="AN300">
        <v>0</v>
      </c>
      <c r="AO300">
        <v>1</v>
      </c>
      <c r="AP300">
        <v>0</v>
      </c>
      <c r="AQ300">
        <v>0</v>
      </c>
      <c r="AR300">
        <v>0</v>
      </c>
      <c r="AS300" t="s">
        <v>3</v>
      </c>
      <c r="AT300">
        <v>0.91</v>
      </c>
      <c r="AU300" t="s">
        <v>3</v>
      </c>
      <c r="AV300">
        <v>0</v>
      </c>
      <c r="AW300">
        <v>2</v>
      </c>
      <c r="AX300">
        <v>38801370</v>
      </c>
      <c r="AY300">
        <v>1</v>
      </c>
      <c r="AZ300">
        <v>0</v>
      </c>
      <c r="BA300">
        <v>269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CX300">
        <f>Y300*Source!I532</f>
        <v>4.1132</v>
      </c>
      <c r="CY300">
        <f t="shared" si="35"/>
        <v>851.18</v>
      </c>
      <c r="CZ300">
        <f t="shared" si="36"/>
        <v>851.18</v>
      </c>
      <c r="DA300">
        <f t="shared" si="37"/>
        <v>1</v>
      </c>
      <c r="DB300">
        <f t="shared" si="33"/>
        <v>774.57</v>
      </c>
      <c r="DC300">
        <f t="shared" si="34"/>
        <v>0</v>
      </c>
    </row>
    <row r="301" spans="1:107" x14ac:dyDescent="0.2">
      <c r="A301">
        <f>ROW(Source!A532)</f>
        <v>532</v>
      </c>
      <c r="B301">
        <v>38799519</v>
      </c>
      <c r="C301">
        <v>38801347</v>
      </c>
      <c r="D301">
        <v>38467563</v>
      </c>
      <c r="E301">
        <v>1</v>
      </c>
      <c r="F301">
        <v>1</v>
      </c>
      <c r="G301">
        <v>27</v>
      </c>
      <c r="H301">
        <v>3</v>
      </c>
      <c r="I301" t="s">
        <v>557</v>
      </c>
      <c r="J301" t="s">
        <v>558</v>
      </c>
      <c r="K301" t="s">
        <v>559</v>
      </c>
      <c r="L301">
        <v>1301</v>
      </c>
      <c r="N301">
        <v>1003</v>
      </c>
      <c r="O301" t="s">
        <v>121</v>
      </c>
      <c r="P301" t="s">
        <v>121</v>
      </c>
      <c r="Q301">
        <v>1</v>
      </c>
      <c r="W301">
        <v>0</v>
      </c>
      <c r="X301">
        <v>-1155863362</v>
      </c>
      <c r="Y301">
        <v>48.11</v>
      </c>
      <c r="AA301">
        <v>37.46</v>
      </c>
      <c r="AB301">
        <v>0</v>
      </c>
      <c r="AC301">
        <v>0</v>
      </c>
      <c r="AD301">
        <v>0</v>
      </c>
      <c r="AE301">
        <v>37.46</v>
      </c>
      <c r="AF301">
        <v>0</v>
      </c>
      <c r="AG301">
        <v>0</v>
      </c>
      <c r="AH301">
        <v>0</v>
      </c>
      <c r="AI301">
        <v>1</v>
      </c>
      <c r="AJ301">
        <v>1</v>
      </c>
      <c r="AK301">
        <v>1</v>
      </c>
      <c r="AL301">
        <v>1</v>
      </c>
      <c r="AN301">
        <v>0</v>
      </c>
      <c r="AO301">
        <v>1</v>
      </c>
      <c r="AP301">
        <v>0</v>
      </c>
      <c r="AQ301">
        <v>0</v>
      </c>
      <c r="AR301">
        <v>0</v>
      </c>
      <c r="AS301" t="s">
        <v>3</v>
      </c>
      <c r="AT301">
        <v>48.11</v>
      </c>
      <c r="AU301" t="s">
        <v>3</v>
      </c>
      <c r="AV301">
        <v>0</v>
      </c>
      <c r="AW301">
        <v>2</v>
      </c>
      <c r="AX301">
        <v>38801371</v>
      </c>
      <c r="AY301">
        <v>1</v>
      </c>
      <c r="AZ301">
        <v>0</v>
      </c>
      <c r="BA301">
        <v>270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CX301">
        <f>Y301*Source!I532</f>
        <v>217.45719999999997</v>
      </c>
      <c r="CY301">
        <f t="shared" si="35"/>
        <v>37.46</v>
      </c>
      <c r="CZ301">
        <f t="shared" si="36"/>
        <v>37.46</v>
      </c>
      <c r="DA301">
        <f t="shared" si="37"/>
        <v>1</v>
      </c>
      <c r="DB301">
        <f t="shared" si="33"/>
        <v>1802.2</v>
      </c>
      <c r="DC301">
        <f t="shared" si="34"/>
        <v>0</v>
      </c>
    </row>
    <row r="302" spans="1:107" x14ac:dyDescent="0.2">
      <c r="A302">
        <f>ROW(Source!A532)</f>
        <v>532</v>
      </c>
      <c r="B302">
        <v>38799519</v>
      </c>
      <c r="C302">
        <v>38801347</v>
      </c>
      <c r="D302">
        <v>38467564</v>
      </c>
      <c r="E302">
        <v>1</v>
      </c>
      <c r="F302">
        <v>1</v>
      </c>
      <c r="G302">
        <v>27</v>
      </c>
      <c r="H302">
        <v>3</v>
      </c>
      <c r="I302" t="s">
        <v>560</v>
      </c>
      <c r="J302" t="s">
        <v>561</v>
      </c>
      <c r="K302" t="s">
        <v>562</v>
      </c>
      <c r="L302">
        <v>1301</v>
      </c>
      <c r="N302">
        <v>1003</v>
      </c>
      <c r="O302" t="s">
        <v>121</v>
      </c>
      <c r="P302" t="s">
        <v>121</v>
      </c>
      <c r="Q302">
        <v>1</v>
      </c>
      <c r="W302">
        <v>0</v>
      </c>
      <c r="X302">
        <v>123616094</v>
      </c>
      <c r="Y302">
        <v>48.11</v>
      </c>
      <c r="AA302">
        <v>153.38999999999999</v>
      </c>
      <c r="AB302">
        <v>0</v>
      </c>
      <c r="AC302">
        <v>0</v>
      </c>
      <c r="AD302">
        <v>0</v>
      </c>
      <c r="AE302">
        <v>153.38999999999999</v>
      </c>
      <c r="AF302">
        <v>0</v>
      </c>
      <c r="AG302">
        <v>0</v>
      </c>
      <c r="AH302">
        <v>0</v>
      </c>
      <c r="AI302">
        <v>1</v>
      </c>
      <c r="AJ302">
        <v>1</v>
      </c>
      <c r="AK302">
        <v>1</v>
      </c>
      <c r="AL302">
        <v>1</v>
      </c>
      <c r="AN302">
        <v>0</v>
      </c>
      <c r="AO302">
        <v>1</v>
      </c>
      <c r="AP302">
        <v>0</v>
      </c>
      <c r="AQ302">
        <v>0</v>
      </c>
      <c r="AR302">
        <v>0</v>
      </c>
      <c r="AS302" t="s">
        <v>3</v>
      </c>
      <c r="AT302">
        <v>48.11</v>
      </c>
      <c r="AU302" t="s">
        <v>3</v>
      </c>
      <c r="AV302">
        <v>0</v>
      </c>
      <c r="AW302">
        <v>2</v>
      </c>
      <c r="AX302">
        <v>38801372</v>
      </c>
      <c r="AY302">
        <v>1</v>
      </c>
      <c r="AZ302">
        <v>0</v>
      </c>
      <c r="BA302">
        <v>271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CX302">
        <f>Y302*Source!I532</f>
        <v>217.45719999999997</v>
      </c>
      <c r="CY302">
        <f t="shared" si="35"/>
        <v>153.38999999999999</v>
      </c>
      <c r="CZ302">
        <f t="shared" si="36"/>
        <v>153.38999999999999</v>
      </c>
      <c r="DA302">
        <f t="shared" si="37"/>
        <v>1</v>
      </c>
      <c r="DB302">
        <f t="shared" si="33"/>
        <v>7379.59</v>
      </c>
      <c r="DC302">
        <f t="shared" si="34"/>
        <v>0</v>
      </c>
    </row>
    <row r="303" spans="1:107" x14ac:dyDescent="0.2">
      <c r="A303">
        <f>ROW(Source!A532)</f>
        <v>532</v>
      </c>
      <c r="B303">
        <v>38799519</v>
      </c>
      <c r="C303">
        <v>38801347</v>
      </c>
      <c r="D303">
        <v>38469190</v>
      </c>
      <c r="E303">
        <v>1</v>
      </c>
      <c r="F303">
        <v>1</v>
      </c>
      <c r="G303">
        <v>27</v>
      </c>
      <c r="H303">
        <v>3</v>
      </c>
      <c r="I303" t="s">
        <v>563</v>
      </c>
      <c r="J303" t="s">
        <v>564</v>
      </c>
      <c r="K303" t="s">
        <v>565</v>
      </c>
      <c r="L303">
        <v>1355</v>
      </c>
      <c r="N303">
        <v>1010</v>
      </c>
      <c r="O303" t="s">
        <v>556</v>
      </c>
      <c r="P303" t="s">
        <v>556</v>
      </c>
      <c r="Q303">
        <v>100</v>
      </c>
      <c r="W303">
        <v>0</v>
      </c>
      <c r="X303">
        <v>1745780889</v>
      </c>
      <c r="Y303">
        <v>5.46</v>
      </c>
      <c r="AA303">
        <v>241.19</v>
      </c>
      <c r="AB303">
        <v>0</v>
      </c>
      <c r="AC303">
        <v>0</v>
      </c>
      <c r="AD303">
        <v>0</v>
      </c>
      <c r="AE303">
        <v>241.19</v>
      </c>
      <c r="AF303">
        <v>0</v>
      </c>
      <c r="AG303">
        <v>0</v>
      </c>
      <c r="AH303">
        <v>0</v>
      </c>
      <c r="AI303">
        <v>1</v>
      </c>
      <c r="AJ303">
        <v>1</v>
      </c>
      <c r="AK303">
        <v>1</v>
      </c>
      <c r="AL303">
        <v>1</v>
      </c>
      <c r="AN303">
        <v>0</v>
      </c>
      <c r="AO303">
        <v>1</v>
      </c>
      <c r="AP303">
        <v>0</v>
      </c>
      <c r="AQ303">
        <v>0</v>
      </c>
      <c r="AR303">
        <v>0</v>
      </c>
      <c r="AS303" t="s">
        <v>3</v>
      </c>
      <c r="AT303">
        <v>5.46</v>
      </c>
      <c r="AU303" t="s">
        <v>3</v>
      </c>
      <c r="AV303">
        <v>0</v>
      </c>
      <c r="AW303">
        <v>2</v>
      </c>
      <c r="AX303">
        <v>38801373</v>
      </c>
      <c r="AY303">
        <v>1</v>
      </c>
      <c r="AZ303">
        <v>0</v>
      </c>
      <c r="BA303">
        <v>272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CX303">
        <f>Y303*Source!I532</f>
        <v>24.679199999999998</v>
      </c>
      <c r="CY303">
        <f t="shared" si="35"/>
        <v>241.19</v>
      </c>
      <c r="CZ303">
        <f t="shared" si="36"/>
        <v>241.19</v>
      </c>
      <c r="DA303">
        <f t="shared" si="37"/>
        <v>1</v>
      </c>
      <c r="DB303">
        <f t="shared" si="33"/>
        <v>1316.9</v>
      </c>
      <c r="DC303">
        <f t="shared" si="34"/>
        <v>0</v>
      </c>
    </row>
    <row r="304" spans="1:107" x14ac:dyDescent="0.2">
      <c r="A304">
        <f>ROW(Source!A532)</f>
        <v>532</v>
      </c>
      <c r="B304">
        <v>38799519</v>
      </c>
      <c r="C304">
        <v>38801347</v>
      </c>
      <c r="D304">
        <v>38469837</v>
      </c>
      <c r="E304">
        <v>1</v>
      </c>
      <c r="F304">
        <v>1</v>
      </c>
      <c r="G304">
        <v>27</v>
      </c>
      <c r="H304">
        <v>3</v>
      </c>
      <c r="I304" t="s">
        <v>566</v>
      </c>
      <c r="J304" t="s">
        <v>567</v>
      </c>
      <c r="K304" t="s">
        <v>568</v>
      </c>
      <c r="L304">
        <v>1301</v>
      </c>
      <c r="N304">
        <v>1003</v>
      </c>
      <c r="O304" t="s">
        <v>121</v>
      </c>
      <c r="P304" t="s">
        <v>121</v>
      </c>
      <c r="Q304">
        <v>1</v>
      </c>
      <c r="W304">
        <v>0</v>
      </c>
      <c r="X304">
        <v>-602633205</v>
      </c>
      <c r="Y304">
        <v>48.11</v>
      </c>
      <c r="AA304">
        <v>69.680000000000007</v>
      </c>
      <c r="AB304">
        <v>0</v>
      </c>
      <c r="AC304">
        <v>0</v>
      </c>
      <c r="AD304">
        <v>0</v>
      </c>
      <c r="AE304">
        <v>69.680000000000007</v>
      </c>
      <c r="AF304">
        <v>0</v>
      </c>
      <c r="AG304">
        <v>0</v>
      </c>
      <c r="AH304">
        <v>0</v>
      </c>
      <c r="AI304">
        <v>1</v>
      </c>
      <c r="AJ304">
        <v>1</v>
      </c>
      <c r="AK304">
        <v>1</v>
      </c>
      <c r="AL304">
        <v>1</v>
      </c>
      <c r="AN304">
        <v>0</v>
      </c>
      <c r="AO304">
        <v>1</v>
      </c>
      <c r="AP304">
        <v>0</v>
      </c>
      <c r="AQ304">
        <v>0</v>
      </c>
      <c r="AR304">
        <v>0</v>
      </c>
      <c r="AS304" t="s">
        <v>3</v>
      </c>
      <c r="AT304">
        <v>48.11</v>
      </c>
      <c r="AU304" t="s">
        <v>3</v>
      </c>
      <c r="AV304">
        <v>0</v>
      </c>
      <c r="AW304">
        <v>2</v>
      </c>
      <c r="AX304">
        <v>38801374</v>
      </c>
      <c r="AY304">
        <v>1</v>
      </c>
      <c r="AZ304">
        <v>0</v>
      </c>
      <c r="BA304">
        <v>273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CX304">
        <f>Y304*Source!I532</f>
        <v>217.45719999999997</v>
      </c>
      <c r="CY304">
        <f t="shared" si="35"/>
        <v>69.680000000000007</v>
      </c>
      <c r="CZ304">
        <f t="shared" si="36"/>
        <v>69.680000000000007</v>
      </c>
      <c r="DA304">
        <f t="shared" si="37"/>
        <v>1</v>
      </c>
      <c r="DB304">
        <f t="shared" si="33"/>
        <v>3352.3</v>
      </c>
      <c r="DC304">
        <f t="shared" si="34"/>
        <v>0</v>
      </c>
    </row>
    <row r="305" spans="1:107" x14ac:dyDescent="0.2">
      <c r="A305">
        <f>ROW(Source!A532)</f>
        <v>532</v>
      </c>
      <c r="B305">
        <v>38799519</v>
      </c>
      <c r="C305">
        <v>38801347</v>
      </c>
      <c r="D305">
        <v>38469838</v>
      </c>
      <c r="E305">
        <v>1</v>
      </c>
      <c r="F305">
        <v>1</v>
      </c>
      <c r="G305">
        <v>27</v>
      </c>
      <c r="H305">
        <v>3</v>
      </c>
      <c r="I305" t="s">
        <v>569</v>
      </c>
      <c r="J305" t="s">
        <v>570</v>
      </c>
      <c r="K305" t="s">
        <v>571</v>
      </c>
      <c r="L305">
        <v>1301</v>
      </c>
      <c r="N305">
        <v>1003</v>
      </c>
      <c r="O305" t="s">
        <v>121</v>
      </c>
      <c r="P305" t="s">
        <v>121</v>
      </c>
      <c r="Q305">
        <v>1</v>
      </c>
      <c r="W305">
        <v>0</v>
      </c>
      <c r="X305">
        <v>-1018017737</v>
      </c>
      <c r="Y305">
        <v>48.11</v>
      </c>
      <c r="AA305">
        <v>149.85</v>
      </c>
      <c r="AB305">
        <v>0</v>
      </c>
      <c r="AC305">
        <v>0</v>
      </c>
      <c r="AD305">
        <v>0</v>
      </c>
      <c r="AE305">
        <v>149.85</v>
      </c>
      <c r="AF305">
        <v>0</v>
      </c>
      <c r="AG305">
        <v>0</v>
      </c>
      <c r="AH305">
        <v>0</v>
      </c>
      <c r="AI305">
        <v>1</v>
      </c>
      <c r="AJ305">
        <v>1</v>
      </c>
      <c r="AK305">
        <v>1</v>
      </c>
      <c r="AL305">
        <v>1</v>
      </c>
      <c r="AN305">
        <v>0</v>
      </c>
      <c r="AO305">
        <v>1</v>
      </c>
      <c r="AP305">
        <v>0</v>
      </c>
      <c r="AQ305">
        <v>0</v>
      </c>
      <c r="AR305">
        <v>0</v>
      </c>
      <c r="AS305" t="s">
        <v>3</v>
      </c>
      <c r="AT305">
        <v>48.11</v>
      </c>
      <c r="AU305" t="s">
        <v>3</v>
      </c>
      <c r="AV305">
        <v>0</v>
      </c>
      <c r="AW305">
        <v>2</v>
      </c>
      <c r="AX305">
        <v>38801375</v>
      </c>
      <c r="AY305">
        <v>1</v>
      </c>
      <c r="AZ305">
        <v>0</v>
      </c>
      <c r="BA305">
        <v>274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CX305">
        <f>Y305*Source!I532</f>
        <v>217.45719999999997</v>
      </c>
      <c r="CY305">
        <f t="shared" si="35"/>
        <v>149.85</v>
      </c>
      <c r="CZ305">
        <f t="shared" si="36"/>
        <v>149.85</v>
      </c>
      <c r="DA305">
        <f t="shared" si="37"/>
        <v>1</v>
      </c>
      <c r="DB305">
        <f t="shared" si="33"/>
        <v>7209.28</v>
      </c>
      <c r="DC305">
        <f t="shared" si="34"/>
        <v>0</v>
      </c>
    </row>
    <row r="306" spans="1:107" x14ac:dyDescent="0.2">
      <c r="A306">
        <f>ROW(Source!A533)</f>
        <v>533</v>
      </c>
      <c r="B306">
        <v>38799519</v>
      </c>
      <c r="C306">
        <v>38801386</v>
      </c>
      <c r="D306">
        <v>38451941</v>
      </c>
      <c r="E306">
        <v>27</v>
      </c>
      <c r="F306">
        <v>1</v>
      </c>
      <c r="G306">
        <v>27</v>
      </c>
      <c r="H306">
        <v>1</v>
      </c>
      <c r="I306" t="s">
        <v>387</v>
      </c>
      <c r="J306" t="s">
        <v>3</v>
      </c>
      <c r="K306" t="s">
        <v>388</v>
      </c>
      <c r="L306">
        <v>1191</v>
      </c>
      <c r="N306">
        <v>1013</v>
      </c>
      <c r="O306" t="s">
        <v>389</v>
      </c>
      <c r="P306" t="s">
        <v>389</v>
      </c>
      <c r="Q306">
        <v>1</v>
      </c>
      <c r="W306">
        <v>0</v>
      </c>
      <c r="X306">
        <v>476480486</v>
      </c>
      <c r="Y306">
        <v>1.1499999999999999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1</v>
      </c>
      <c r="AJ306">
        <v>1</v>
      </c>
      <c r="AK306">
        <v>1</v>
      </c>
      <c r="AL306">
        <v>1</v>
      </c>
      <c r="AN306">
        <v>0</v>
      </c>
      <c r="AO306">
        <v>1</v>
      </c>
      <c r="AP306">
        <v>0</v>
      </c>
      <c r="AQ306">
        <v>0</v>
      </c>
      <c r="AR306">
        <v>0</v>
      </c>
      <c r="AS306" t="s">
        <v>3</v>
      </c>
      <c r="AT306">
        <v>1.1499999999999999</v>
      </c>
      <c r="AU306" t="s">
        <v>3</v>
      </c>
      <c r="AV306">
        <v>1</v>
      </c>
      <c r="AW306">
        <v>2</v>
      </c>
      <c r="AX306">
        <v>38801387</v>
      </c>
      <c r="AY306">
        <v>1</v>
      </c>
      <c r="AZ306">
        <v>0</v>
      </c>
      <c r="BA306">
        <v>275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CX306">
        <f>Y306*Source!I533</f>
        <v>1.1499999999999999</v>
      </c>
      <c r="CY306">
        <f>AD306</f>
        <v>0</v>
      </c>
      <c r="CZ306">
        <f>AH306</f>
        <v>0</v>
      </c>
      <c r="DA306">
        <f>AL306</f>
        <v>1</v>
      </c>
      <c r="DB306">
        <f t="shared" si="33"/>
        <v>0</v>
      </c>
      <c r="DC306">
        <f t="shared" si="34"/>
        <v>0</v>
      </c>
    </row>
    <row r="307" spans="1:107" x14ac:dyDescent="0.2">
      <c r="A307">
        <f>ROW(Source!A534)</f>
        <v>534</v>
      </c>
      <c r="B307">
        <v>38799519</v>
      </c>
      <c r="C307">
        <v>38801388</v>
      </c>
      <c r="D307">
        <v>38451941</v>
      </c>
      <c r="E307">
        <v>27</v>
      </c>
      <c r="F307">
        <v>1</v>
      </c>
      <c r="G307">
        <v>27</v>
      </c>
      <c r="H307">
        <v>1</v>
      </c>
      <c r="I307" t="s">
        <v>387</v>
      </c>
      <c r="J307" t="s">
        <v>3</v>
      </c>
      <c r="K307" t="s">
        <v>388</v>
      </c>
      <c r="L307">
        <v>1191</v>
      </c>
      <c r="N307">
        <v>1013</v>
      </c>
      <c r="O307" t="s">
        <v>389</v>
      </c>
      <c r="P307" t="s">
        <v>389</v>
      </c>
      <c r="Q307">
        <v>1</v>
      </c>
      <c r="W307">
        <v>0</v>
      </c>
      <c r="X307">
        <v>476480486</v>
      </c>
      <c r="Y307">
        <v>1.28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1</v>
      </c>
      <c r="AJ307">
        <v>1</v>
      </c>
      <c r="AK307">
        <v>1</v>
      </c>
      <c r="AL307">
        <v>1</v>
      </c>
      <c r="AN307">
        <v>0</v>
      </c>
      <c r="AO307">
        <v>1</v>
      </c>
      <c r="AP307">
        <v>0</v>
      </c>
      <c r="AQ307">
        <v>0</v>
      </c>
      <c r="AR307">
        <v>0</v>
      </c>
      <c r="AS307" t="s">
        <v>3</v>
      </c>
      <c r="AT307">
        <v>1.28</v>
      </c>
      <c r="AU307" t="s">
        <v>3</v>
      </c>
      <c r="AV307">
        <v>1</v>
      </c>
      <c r="AW307">
        <v>2</v>
      </c>
      <c r="AX307">
        <v>38801390</v>
      </c>
      <c r="AY307">
        <v>1</v>
      </c>
      <c r="AZ307">
        <v>0</v>
      </c>
      <c r="BA307">
        <v>276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CX307">
        <f>Y307*Source!I534</f>
        <v>1.28</v>
      </c>
      <c r="CY307">
        <f>AD307</f>
        <v>0</v>
      </c>
      <c r="CZ307">
        <f>AH307</f>
        <v>0</v>
      </c>
      <c r="DA307">
        <f>AL307</f>
        <v>1</v>
      </c>
      <c r="DB307">
        <f t="shared" si="33"/>
        <v>0</v>
      </c>
      <c r="DC307">
        <f t="shared" si="34"/>
        <v>0</v>
      </c>
    </row>
    <row r="308" spans="1:107" x14ac:dyDescent="0.2">
      <c r="A308">
        <f>ROW(Source!A534)</f>
        <v>534</v>
      </c>
      <c r="B308">
        <v>38799519</v>
      </c>
      <c r="C308">
        <v>38801388</v>
      </c>
      <c r="D308">
        <v>38464664</v>
      </c>
      <c r="E308">
        <v>1</v>
      </c>
      <c r="F308">
        <v>1</v>
      </c>
      <c r="G308">
        <v>27</v>
      </c>
      <c r="H308">
        <v>2</v>
      </c>
      <c r="I308" t="s">
        <v>493</v>
      </c>
      <c r="J308" t="s">
        <v>494</v>
      </c>
      <c r="K308" t="s">
        <v>495</v>
      </c>
      <c r="L308">
        <v>1368</v>
      </c>
      <c r="N308">
        <v>1011</v>
      </c>
      <c r="O308" t="s">
        <v>393</v>
      </c>
      <c r="P308" t="s">
        <v>393</v>
      </c>
      <c r="Q308">
        <v>1</v>
      </c>
      <c r="W308">
        <v>0</v>
      </c>
      <c r="X308">
        <v>-1522739878</v>
      </c>
      <c r="Y308">
        <v>0.32</v>
      </c>
      <c r="AA308">
        <v>0</v>
      </c>
      <c r="AB308">
        <v>27.21</v>
      </c>
      <c r="AC308">
        <v>0.13</v>
      </c>
      <c r="AD308">
        <v>0</v>
      </c>
      <c r="AE308">
        <v>0</v>
      </c>
      <c r="AF308">
        <v>27.21</v>
      </c>
      <c r="AG308">
        <v>0.13</v>
      </c>
      <c r="AH308">
        <v>0</v>
      </c>
      <c r="AI308">
        <v>1</v>
      </c>
      <c r="AJ308">
        <v>1</v>
      </c>
      <c r="AK308">
        <v>1</v>
      </c>
      <c r="AL308">
        <v>1</v>
      </c>
      <c r="AN308">
        <v>0</v>
      </c>
      <c r="AO308">
        <v>1</v>
      </c>
      <c r="AP308">
        <v>0</v>
      </c>
      <c r="AQ308">
        <v>0</v>
      </c>
      <c r="AR308">
        <v>0</v>
      </c>
      <c r="AS308" t="s">
        <v>3</v>
      </c>
      <c r="AT308">
        <v>0.32</v>
      </c>
      <c r="AU308" t="s">
        <v>3</v>
      </c>
      <c r="AV308">
        <v>0</v>
      </c>
      <c r="AW308">
        <v>2</v>
      </c>
      <c r="AX308">
        <v>38801391</v>
      </c>
      <c r="AY308">
        <v>1</v>
      </c>
      <c r="AZ308">
        <v>0</v>
      </c>
      <c r="BA308">
        <v>277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CX308">
        <f>Y308*Source!I534</f>
        <v>0.32</v>
      </c>
      <c r="CY308">
        <f>AB308</f>
        <v>27.21</v>
      </c>
      <c r="CZ308">
        <f>AF308</f>
        <v>27.21</v>
      </c>
      <c r="DA308">
        <f>AJ308</f>
        <v>1</v>
      </c>
      <c r="DB308">
        <f t="shared" si="33"/>
        <v>8.7100000000000009</v>
      </c>
      <c r="DC308">
        <f t="shared" si="34"/>
        <v>0.04</v>
      </c>
    </row>
    <row r="309" spans="1:107" x14ac:dyDescent="0.2">
      <c r="A309">
        <f>ROW(Source!A534)</f>
        <v>534</v>
      </c>
      <c r="B309">
        <v>38799519</v>
      </c>
      <c r="C309">
        <v>38801388</v>
      </c>
      <c r="D309">
        <v>38465122</v>
      </c>
      <c r="E309">
        <v>1</v>
      </c>
      <c r="F309">
        <v>1</v>
      </c>
      <c r="G309">
        <v>27</v>
      </c>
      <c r="H309">
        <v>2</v>
      </c>
      <c r="I309" t="s">
        <v>456</v>
      </c>
      <c r="J309" t="s">
        <v>457</v>
      </c>
      <c r="K309" t="s">
        <v>458</v>
      </c>
      <c r="L309">
        <v>1368</v>
      </c>
      <c r="N309">
        <v>1011</v>
      </c>
      <c r="O309" t="s">
        <v>393</v>
      </c>
      <c r="P309" t="s">
        <v>393</v>
      </c>
      <c r="Q309">
        <v>1</v>
      </c>
      <c r="W309">
        <v>0</v>
      </c>
      <c r="X309">
        <v>-1222982568</v>
      </c>
      <c r="Y309">
        <v>0.14000000000000001</v>
      </c>
      <c r="AA309">
        <v>0</v>
      </c>
      <c r="AB309">
        <v>7.44</v>
      </c>
      <c r="AC309">
        <v>0.98</v>
      </c>
      <c r="AD309">
        <v>0</v>
      </c>
      <c r="AE309">
        <v>0</v>
      </c>
      <c r="AF309">
        <v>7.44</v>
      </c>
      <c r="AG309">
        <v>0.98</v>
      </c>
      <c r="AH309">
        <v>0</v>
      </c>
      <c r="AI309">
        <v>1</v>
      </c>
      <c r="AJ309">
        <v>1</v>
      </c>
      <c r="AK309">
        <v>1</v>
      </c>
      <c r="AL309">
        <v>1</v>
      </c>
      <c r="AN309">
        <v>0</v>
      </c>
      <c r="AO309">
        <v>1</v>
      </c>
      <c r="AP309">
        <v>0</v>
      </c>
      <c r="AQ309">
        <v>0</v>
      </c>
      <c r="AR309">
        <v>0</v>
      </c>
      <c r="AS309" t="s">
        <v>3</v>
      </c>
      <c r="AT309">
        <v>0.14000000000000001</v>
      </c>
      <c r="AU309" t="s">
        <v>3</v>
      </c>
      <c r="AV309">
        <v>0</v>
      </c>
      <c r="AW309">
        <v>2</v>
      </c>
      <c r="AX309">
        <v>38801392</v>
      </c>
      <c r="AY309">
        <v>1</v>
      </c>
      <c r="AZ309">
        <v>0</v>
      </c>
      <c r="BA309">
        <v>278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CX309">
        <f>Y309*Source!I534</f>
        <v>0.14000000000000001</v>
      </c>
      <c r="CY309">
        <f>AB309</f>
        <v>7.44</v>
      </c>
      <c r="CZ309">
        <f>AF309</f>
        <v>7.44</v>
      </c>
      <c r="DA309">
        <f>AJ309</f>
        <v>1</v>
      </c>
      <c r="DB309">
        <f t="shared" si="33"/>
        <v>1.04</v>
      </c>
      <c r="DC309">
        <f t="shared" si="34"/>
        <v>0.14000000000000001</v>
      </c>
    </row>
    <row r="310" spans="1:107" x14ac:dyDescent="0.2">
      <c r="A310">
        <f>ROW(Source!A534)</f>
        <v>534</v>
      </c>
      <c r="B310">
        <v>38799519</v>
      </c>
      <c r="C310">
        <v>38801388</v>
      </c>
      <c r="D310">
        <v>38465050</v>
      </c>
      <c r="E310">
        <v>1</v>
      </c>
      <c r="F310">
        <v>1</v>
      </c>
      <c r="G310">
        <v>27</v>
      </c>
      <c r="H310">
        <v>2</v>
      </c>
      <c r="I310" t="s">
        <v>502</v>
      </c>
      <c r="J310" t="s">
        <v>503</v>
      </c>
      <c r="K310" t="s">
        <v>504</v>
      </c>
      <c r="L310">
        <v>1368</v>
      </c>
      <c r="N310">
        <v>1011</v>
      </c>
      <c r="O310" t="s">
        <v>393</v>
      </c>
      <c r="P310" t="s">
        <v>393</v>
      </c>
      <c r="Q310">
        <v>1</v>
      </c>
      <c r="W310">
        <v>0</v>
      </c>
      <c r="X310">
        <v>-952080715</v>
      </c>
      <c r="Y310">
        <v>0.02</v>
      </c>
      <c r="AA310">
        <v>0</v>
      </c>
      <c r="AB310">
        <v>5.94</v>
      </c>
      <c r="AC310">
        <v>0.02</v>
      </c>
      <c r="AD310">
        <v>0</v>
      </c>
      <c r="AE310">
        <v>0</v>
      </c>
      <c r="AF310">
        <v>5.94</v>
      </c>
      <c r="AG310">
        <v>0.02</v>
      </c>
      <c r="AH310">
        <v>0</v>
      </c>
      <c r="AI310">
        <v>1</v>
      </c>
      <c r="AJ310">
        <v>1</v>
      </c>
      <c r="AK310">
        <v>1</v>
      </c>
      <c r="AL310">
        <v>1</v>
      </c>
      <c r="AN310">
        <v>0</v>
      </c>
      <c r="AO310">
        <v>1</v>
      </c>
      <c r="AP310">
        <v>0</v>
      </c>
      <c r="AQ310">
        <v>0</v>
      </c>
      <c r="AR310">
        <v>0</v>
      </c>
      <c r="AS310" t="s">
        <v>3</v>
      </c>
      <c r="AT310">
        <v>0.02</v>
      </c>
      <c r="AU310" t="s">
        <v>3</v>
      </c>
      <c r="AV310">
        <v>0</v>
      </c>
      <c r="AW310">
        <v>2</v>
      </c>
      <c r="AX310">
        <v>38801393</v>
      </c>
      <c r="AY310">
        <v>1</v>
      </c>
      <c r="AZ310">
        <v>0</v>
      </c>
      <c r="BA310">
        <v>279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CX310">
        <f>Y310*Source!I534</f>
        <v>0.02</v>
      </c>
      <c r="CY310">
        <f>AB310</f>
        <v>5.94</v>
      </c>
      <c r="CZ310">
        <f>AF310</f>
        <v>5.94</v>
      </c>
      <c r="DA310">
        <f>AJ310</f>
        <v>1</v>
      </c>
      <c r="DB310">
        <f t="shared" si="33"/>
        <v>0.12</v>
      </c>
      <c r="DC310">
        <f t="shared" si="34"/>
        <v>0</v>
      </c>
    </row>
    <row r="311" spans="1:107" x14ac:dyDescent="0.2">
      <c r="A311">
        <f>ROW(Source!A534)</f>
        <v>534</v>
      </c>
      <c r="B311">
        <v>38799519</v>
      </c>
      <c r="C311">
        <v>38801388</v>
      </c>
      <c r="D311">
        <v>38465084</v>
      </c>
      <c r="E311">
        <v>1</v>
      </c>
      <c r="F311">
        <v>1</v>
      </c>
      <c r="G311">
        <v>27</v>
      </c>
      <c r="H311">
        <v>2</v>
      </c>
      <c r="I311" t="s">
        <v>538</v>
      </c>
      <c r="J311" t="s">
        <v>539</v>
      </c>
      <c r="K311" t="s">
        <v>540</v>
      </c>
      <c r="L311">
        <v>1368</v>
      </c>
      <c r="N311">
        <v>1011</v>
      </c>
      <c r="O311" t="s">
        <v>393</v>
      </c>
      <c r="P311" t="s">
        <v>393</v>
      </c>
      <c r="Q311">
        <v>1</v>
      </c>
      <c r="W311">
        <v>0</v>
      </c>
      <c r="X311">
        <v>-1816839109</v>
      </c>
      <c r="Y311">
        <v>0.19</v>
      </c>
      <c r="AA311">
        <v>0</v>
      </c>
      <c r="AB311">
        <v>5.08</v>
      </c>
      <c r="AC311">
        <v>0.01</v>
      </c>
      <c r="AD311">
        <v>0</v>
      </c>
      <c r="AE311">
        <v>0</v>
      </c>
      <c r="AF311">
        <v>5.08</v>
      </c>
      <c r="AG311">
        <v>0.01</v>
      </c>
      <c r="AH311">
        <v>0</v>
      </c>
      <c r="AI311">
        <v>1</v>
      </c>
      <c r="AJ311">
        <v>1</v>
      </c>
      <c r="AK311">
        <v>1</v>
      </c>
      <c r="AL311">
        <v>1</v>
      </c>
      <c r="AN311">
        <v>0</v>
      </c>
      <c r="AO311">
        <v>1</v>
      </c>
      <c r="AP311">
        <v>0</v>
      </c>
      <c r="AQ311">
        <v>0</v>
      </c>
      <c r="AR311">
        <v>0</v>
      </c>
      <c r="AS311" t="s">
        <v>3</v>
      </c>
      <c r="AT311">
        <v>0.19</v>
      </c>
      <c r="AU311" t="s">
        <v>3</v>
      </c>
      <c r="AV311">
        <v>0</v>
      </c>
      <c r="AW311">
        <v>2</v>
      </c>
      <c r="AX311">
        <v>38801394</v>
      </c>
      <c r="AY311">
        <v>1</v>
      </c>
      <c r="AZ311">
        <v>0</v>
      </c>
      <c r="BA311">
        <v>280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CX311">
        <f>Y311*Source!I534</f>
        <v>0.19</v>
      </c>
      <c r="CY311">
        <f>AB311</f>
        <v>5.08</v>
      </c>
      <c r="CZ311">
        <f>AF311</f>
        <v>5.08</v>
      </c>
      <c r="DA311">
        <f>AJ311</f>
        <v>1</v>
      </c>
      <c r="DB311">
        <f t="shared" si="33"/>
        <v>0.97</v>
      </c>
      <c r="DC311">
        <f t="shared" si="34"/>
        <v>0</v>
      </c>
    </row>
    <row r="312" spans="1:107" x14ac:dyDescent="0.2">
      <c r="A312">
        <f>ROW(Source!A534)</f>
        <v>534</v>
      </c>
      <c r="B312">
        <v>38799519</v>
      </c>
      <c r="C312">
        <v>38801388</v>
      </c>
      <c r="D312">
        <v>38466169</v>
      </c>
      <c r="E312">
        <v>1</v>
      </c>
      <c r="F312">
        <v>1</v>
      </c>
      <c r="G312">
        <v>27</v>
      </c>
      <c r="H312">
        <v>3</v>
      </c>
      <c r="I312" t="s">
        <v>622</v>
      </c>
      <c r="J312" t="s">
        <v>623</v>
      </c>
      <c r="K312" t="s">
        <v>624</v>
      </c>
      <c r="L312">
        <v>1346</v>
      </c>
      <c r="N312">
        <v>1009</v>
      </c>
      <c r="O312" t="s">
        <v>474</v>
      </c>
      <c r="P312" t="s">
        <v>474</v>
      </c>
      <c r="Q312">
        <v>1</v>
      </c>
      <c r="W312">
        <v>0</v>
      </c>
      <c r="X312">
        <v>-1821987283</v>
      </c>
      <c r="Y312">
        <v>0.02</v>
      </c>
      <c r="AA312">
        <v>148.69999999999999</v>
      </c>
      <c r="AB312">
        <v>0</v>
      </c>
      <c r="AC312">
        <v>0</v>
      </c>
      <c r="AD312">
        <v>0</v>
      </c>
      <c r="AE312">
        <v>148.69999999999999</v>
      </c>
      <c r="AF312">
        <v>0</v>
      </c>
      <c r="AG312">
        <v>0</v>
      </c>
      <c r="AH312">
        <v>0</v>
      </c>
      <c r="AI312">
        <v>1</v>
      </c>
      <c r="AJ312">
        <v>1</v>
      </c>
      <c r="AK312">
        <v>1</v>
      </c>
      <c r="AL312">
        <v>1</v>
      </c>
      <c r="AN312">
        <v>0</v>
      </c>
      <c r="AO312">
        <v>1</v>
      </c>
      <c r="AP312">
        <v>0</v>
      </c>
      <c r="AQ312">
        <v>0</v>
      </c>
      <c r="AR312">
        <v>0</v>
      </c>
      <c r="AS312" t="s">
        <v>3</v>
      </c>
      <c r="AT312">
        <v>0.02</v>
      </c>
      <c r="AU312" t="s">
        <v>3</v>
      </c>
      <c r="AV312">
        <v>0</v>
      </c>
      <c r="AW312">
        <v>2</v>
      </c>
      <c r="AX312">
        <v>38801395</v>
      </c>
      <c r="AY312">
        <v>1</v>
      </c>
      <c r="AZ312">
        <v>0</v>
      </c>
      <c r="BA312">
        <v>281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CX312">
        <f>Y312*Source!I534</f>
        <v>0.02</v>
      </c>
      <c r="CY312">
        <f>AA312</f>
        <v>148.69999999999999</v>
      </c>
      <c r="CZ312">
        <f>AE312</f>
        <v>148.69999999999999</v>
      </c>
      <c r="DA312">
        <f>AI312</f>
        <v>1</v>
      </c>
      <c r="DB312">
        <f t="shared" si="33"/>
        <v>2.97</v>
      </c>
      <c r="DC312">
        <f t="shared" si="34"/>
        <v>0</v>
      </c>
    </row>
    <row r="313" spans="1:107" x14ac:dyDescent="0.2">
      <c r="A313">
        <f>ROW(Source!A534)</f>
        <v>534</v>
      </c>
      <c r="B313">
        <v>38799519</v>
      </c>
      <c r="C313">
        <v>38801388</v>
      </c>
      <c r="D313">
        <v>38469956</v>
      </c>
      <c r="E313">
        <v>1</v>
      </c>
      <c r="F313">
        <v>1</v>
      </c>
      <c r="G313">
        <v>27</v>
      </c>
      <c r="H313">
        <v>3</v>
      </c>
      <c r="I313" t="s">
        <v>625</v>
      </c>
      <c r="J313" t="s">
        <v>626</v>
      </c>
      <c r="K313" t="s">
        <v>627</v>
      </c>
      <c r="L313">
        <v>1354</v>
      </c>
      <c r="N313">
        <v>1010</v>
      </c>
      <c r="O313" t="s">
        <v>198</v>
      </c>
      <c r="P313" t="s">
        <v>198</v>
      </c>
      <c r="Q313">
        <v>1</v>
      </c>
      <c r="W313">
        <v>0</v>
      </c>
      <c r="X313">
        <v>-1124309573</v>
      </c>
      <c r="Y313">
        <v>1</v>
      </c>
      <c r="AA313">
        <v>10238.299999999999</v>
      </c>
      <c r="AB313">
        <v>0</v>
      </c>
      <c r="AC313">
        <v>0</v>
      </c>
      <c r="AD313">
        <v>0</v>
      </c>
      <c r="AE313">
        <v>10238.299999999999</v>
      </c>
      <c r="AF313">
        <v>0</v>
      </c>
      <c r="AG313">
        <v>0</v>
      </c>
      <c r="AH313">
        <v>0</v>
      </c>
      <c r="AI313">
        <v>1</v>
      </c>
      <c r="AJ313">
        <v>1</v>
      </c>
      <c r="AK313">
        <v>1</v>
      </c>
      <c r="AL313">
        <v>1</v>
      </c>
      <c r="AN313">
        <v>0</v>
      </c>
      <c r="AO313">
        <v>1</v>
      </c>
      <c r="AP313">
        <v>0</v>
      </c>
      <c r="AQ313">
        <v>0</v>
      </c>
      <c r="AR313">
        <v>0</v>
      </c>
      <c r="AS313" t="s">
        <v>3</v>
      </c>
      <c r="AT313">
        <v>1</v>
      </c>
      <c r="AU313" t="s">
        <v>3</v>
      </c>
      <c r="AV313">
        <v>0</v>
      </c>
      <c r="AW313">
        <v>2</v>
      </c>
      <c r="AX313">
        <v>38801396</v>
      </c>
      <c r="AY313">
        <v>1</v>
      </c>
      <c r="AZ313">
        <v>0</v>
      </c>
      <c r="BA313">
        <v>282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CX313">
        <f>Y313*Source!I534</f>
        <v>1</v>
      </c>
      <c r="CY313">
        <f>AA313</f>
        <v>10238.299999999999</v>
      </c>
      <c r="CZ313">
        <f>AE313</f>
        <v>10238.299999999999</v>
      </c>
      <c r="DA313">
        <f>AI313</f>
        <v>1</v>
      </c>
      <c r="DB313">
        <f t="shared" si="33"/>
        <v>10238.299999999999</v>
      </c>
      <c r="DC313">
        <f t="shared" si="34"/>
        <v>0</v>
      </c>
    </row>
    <row r="314" spans="1:107" x14ac:dyDescent="0.2">
      <c r="A314">
        <f>ROW(Source!A535)</f>
        <v>535</v>
      </c>
      <c r="B314">
        <v>38799519</v>
      </c>
      <c r="C314">
        <v>38801389</v>
      </c>
      <c r="D314">
        <v>38451941</v>
      </c>
      <c r="E314">
        <v>27</v>
      </c>
      <c r="F314">
        <v>1</v>
      </c>
      <c r="G314">
        <v>27</v>
      </c>
      <c r="H314">
        <v>1</v>
      </c>
      <c r="I314" t="s">
        <v>387</v>
      </c>
      <c r="J314" t="s">
        <v>3</v>
      </c>
      <c r="K314" t="s">
        <v>388</v>
      </c>
      <c r="L314">
        <v>1191</v>
      </c>
      <c r="N314">
        <v>1013</v>
      </c>
      <c r="O314" t="s">
        <v>389</v>
      </c>
      <c r="P314" t="s">
        <v>389</v>
      </c>
      <c r="Q314">
        <v>1</v>
      </c>
      <c r="W314">
        <v>0</v>
      </c>
      <c r="X314">
        <v>476480486</v>
      </c>
      <c r="Y314">
        <v>1.18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1</v>
      </c>
      <c r="AJ314">
        <v>1</v>
      </c>
      <c r="AK314">
        <v>1</v>
      </c>
      <c r="AL314">
        <v>1</v>
      </c>
      <c r="AN314">
        <v>0</v>
      </c>
      <c r="AO314">
        <v>1</v>
      </c>
      <c r="AP314">
        <v>0</v>
      </c>
      <c r="AQ314">
        <v>0</v>
      </c>
      <c r="AR314">
        <v>0</v>
      </c>
      <c r="AS314" t="s">
        <v>3</v>
      </c>
      <c r="AT314">
        <v>1.18</v>
      </c>
      <c r="AU314" t="s">
        <v>3</v>
      </c>
      <c r="AV314">
        <v>1</v>
      </c>
      <c r="AW314">
        <v>2</v>
      </c>
      <c r="AX314">
        <v>38801397</v>
      </c>
      <c r="AY314">
        <v>1</v>
      </c>
      <c r="AZ314">
        <v>0</v>
      </c>
      <c r="BA314">
        <v>283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CX314">
        <f>Y314*Source!I535</f>
        <v>1.18</v>
      </c>
      <c r="CY314">
        <f>AD314</f>
        <v>0</v>
      </c>
      <c r="CZ314">
        <f>AH314</f>
        <v>0</v>
      </c>
      <c r="DA314">
        <f>AL314</f>
        <v>1</v>
      </c>
      <c r="DB314">
        <f t="shared" si="33"/>
        <v>0</v>
      </c>
      <c r="DC314">
        <f t="shared" si="34"/>
        <v>0</v>
      </c>
    </row>
    <row r="315" spans="1:107" x14ac:dyDescent="0.2">
      <c r="A315">
        <f>ROW(Source!A535)</f>
        <v>535</v>
      </c>
      <c r="B315">
        <v>38799519</v>
      </c>
      <c r="C315">
        <v>38801389</v>
      </c>
      <c r="D315">
        <v>38466161</v>
      </c>
      <c r="E315">
        <v>1</v>
      </c>
      <c r="F315">
        <v>1</v>
      </c>
      <c r="G315">
        <v>27</v>
      </c>
      <c r="H315">
        <v>3</v>
      </c>
      <c r="I315" t="s">
        <v>523</v>
      </c>
      <c r="J315" t="s">
        <v>524</v>
      </c>
      <c r="K315" t="s">
        <v>525</v>
      </c>
      <c r="L315">
        <v>1348</v>
      </c>
      <c r="N315">
        <v>1009</v>
      </c>
      <c r="O315" t="s">
        <v>155</v>
      </c>
      <c r="P315" t="s">
        <v>155</v>
      </c>
      <c r="Q315">
        <v>1000</v>
      </c>
      <c r="W315">
        <v>0</v>
      </c>
      <c r="X315">
        <v>-1356276541</v>
      </c>
      <c r="Y315">
        <v>6.0000000000000002E-5</v>
      </c>
      <c r="AA315">
        <v>105084.63</v>
      </c>
      <c r="AB315">
        <v>0</v>
      </c>
      <c r="AC315">
        <v>0</v>
      </c>
      <c r="AD315">
        <v>0</v>
      </c>
      <c r="AE315">
        <v>105084.63</v>
      </c>
      <c r="AF315">
        <v>0</v>
      </c>
      <c r="AG315">
        <v>0</v>
      </c>
      <c r="AH315">
        <v>0</v>
      </c>
      <c r="AI315">
        <v>1</v>
      </c>
      <c r="AJ315">
        <v>1</v>
      </c>
      <c r="AK315">
        <v>1</v>
      </c>
      <c r="AL315">
        <v>1</v>
      </c>
      <c r="AN315">
        <v>0</v>
      </c>
      <c r="AO315">
        <v>1</v>
      </c>
      <c r="AP315">
        <v>0</v>
      </c>
      <c r="AQ315">
        <v>0</v>
      </c>
      <c r="AR315">
        <v>0</v>
      </c>
      <c r="AS315" t="s">
        <v>3</v>
      </c>
      <c r="AT315">
        <v>6.0000000000000002E-5</v>
      </c>
      <c r="AU315" t="s">
        <v>3</v>
      </c>
      <c r="AV315">
        <v>0</v>
      </c>
      <c r="AW315">
        <v>2</v>
      </c>
      <c r="AX315">
        <v>38801398</v>
      </c>
      <c r="AY315">
        <v>1</v>
      </c>
      <c r="AZ315">
        <v>0</v>
      </c>
      <c r="BA315">
        <v>284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CX315">
        <f>Y315*Source!I535</f>
        <v>6.0000000000000002E-5</v>
      </c>
      <c r="CY315">
        <f>AA315</f>
        <v>105084.63</v>
      </c>
      <c r="CZ315">
        <f>AE315</f>
        <v>105084.63</v>
      </c>
      <c r="DA315">
        <f>AI315</f>
        <v>1</v>
      </c>
      <c r="DB315">
        <f t="shared" si="33"/>
        <v>6.31</v>
      </c>
      <c r="DC315">
        <f t="shared" si="34"/>
        <v>0</v>
      </c>
    </row>
    <row r="316" spans="1:107" x14ac:dyDescent="0.2">
      <c r="A316">
        <f>ROW(Source!A535)</f>
        <v>535</v>
      </c>
      <c r="B316">
        <v>38799519</v>
      </c>
      <c r="C316">
        <v>38801389</v>
      </c>
      <c r="D316">
        <v>38473896</v>
      </c>
      <c r="E316">
        <v>1</v>
      </c>
      <c r="F316">
        <v>1</v>
      </c>
      <c r="G316">
        <v>27</v>
      </c>
      <c r="H316">
        <v>3</v>
      </c>
      <c r="I316" t="s">
        <v>628</v>
      </c>
      <c r="J316" t="s">
        <v>629</v>
      </c>
      <c r="K316" t="s">
        <v>630</v>
      </c>
      <c r="L316">
        <v>1356</v>
      </c>
      <c r="N316">
        <v>1010</v>
      </c>
      <c r="O316" t="s">
        <v>631</v>
      </c>
      <c r="P316" t="s">
        <v>631</v>
      </c>
      <c r="Q316">
        <v>1000</v>
      </c>
      <c r="W316">
        <v>0</v>
      </c>
      <c r="X316">
        <v>864670250</v>
      </c>
      <c r="Y316">
        <v>6.0000000000000001E-3</v>
      </c>
      <c r="AA316">
        <v>450.82</v>
      </c>
      <c r="AB316">
        <v>0</v>
      </c>
      <c r="AC316">
        <v>0</v>
      </c>
      <c r="AD316">
        <v>0</v>
      </c>
      <c r="AE316">
        <v>450.82</v>
      </c>
      <c r="AF316">
        <v>0</v>
      </c>
      <c r="AG316">
        <v>0</v>
      </c>
      <c r="AH316">
        <v>0</v>
      </c>
      <c r="AI316">
        <v>1</v>
      </c>
      <c r="AJ316">
        <v>1</v>
      </c>
      <c r="AK316">
        <v>1</v>
      </c>
      <c r="AL316">
        <v>1</v>
      </c>
      <c r="AN316">
        <v>0</v>
      </c>
      <c r="AO316">
        <v>1</v>
      </c>
      <c r="AP316">
        <v>0</v>
      </c>
      <c r="AQ316">
        <v>0</v>
      </c>
      <c r="AR316">
        <v>0</v>
      </c>
      <c r="AS316" t="s">
        <v>3</v>
      </c>
      <c r="AT316">
        <v>6.0000000000000001E-3</v>
      </c>
      <c r="AU316" t="s">
        <v>3</v>
      </c>
      <c r="AV316">
        <v>0</v>
      </c>
      <c r="AW316">
        <v>2</v>
      </c>
      <c r="AX316">
        <v>38801399</v>
      </c>
      <c r="AY316">
        <v>1</v>
      </c>
      <c r="AZ316">
        <v>0</v>
      </c>
      <c r="BA316">
        <v>285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CX316">
        <f>Y316*Source!I535</f>
        <v>6.0000000000000001E-3</v>
      </c>
      <c r="CY316">
        <f>AA316</f>
        <v>450.82</v>
      </c>
      <c r="CZ316">
        <f>AE316</f>
        <v>450.82</v>
      </c>
      <c r="DA316">
        <f>AI316</f>
        <v>1</v>
      </c>
      <c r="DB316">
        <f t="shared" si="33"/>
        <v>2.7</v>
      </c>
      <c r="DC316">
        <f t="shared" si="34"/>
        <v>0</v>
      </c>
    </row>
    <row r="317" spans="1:107" x14ac:dyDescent="0.2">
      <c r="A317">
        <f>ROW(Source!A606)</f>
        <v>606</v>
      </c>
      <c r="B317">
        <v>38799519</v>
      </c>
      <c r="C317">
        <v>38801581</v>
      </c>
      <c r="D317">
        <v>38451941</v>
      </c>
      <c r="E317">
        <v>27</v>
      </c>
      <c r="F317">
        <v>1</v>
      </c>
      <c r="G317">
        <v>27</v>
      </c>
      <c r="H317">
        <v>1</v>
      </c>
      <c r="I317" t="s">
        <v>387</v>
      </c>
      <c r="J317" t="s">
        <v>3</v>
      </c>
      <c r="K317" t="s">
        <v>388</v>
      </c>
      <c r="L317">
        <v>1191</v>
      </c>
      <c r="N317">
        <v>1013</v>
      </c>
      <c r="O317" t="s">
        <v>389</v>
      </c>
      <c r="P317" t="s">
        <v>389</v>
      </c>
      <c r="Q317">
        <v>1</v>
      </c>
      <c r="W317">
        <v>0</v>
      </c>
      <c r="X317">
        <v>476480486</v>
      </c>
      <c r="Y317">
        <v>0.66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1</v>
      </c>
      <c r="AJ317">
        <v>1</v>
      </c>
      <c r="AK317">
        <v>1</v>
      </c>
      <c r="AL317">
        <v>1</v>
      </c>
      <c r="AN317">
        <v>0</v>
      </c>
      <c r="AO317">
        <v>1</v>
      </c>
      <c r="AP317">
        <v>0</v>
      </c>
      <c r="AQ317">
        <v>0</v>
      </c>
      <c r="AR317">
        <v>0</v>
      </c>
      <c r="AS317" t="s">
        <v>3</v>
      </c>
      <c r="AT317">
        <v>0.66</v>
      </c>
      <c r="AU317" t="s">
        <v>3</v>
      </c>
      <c r="AV317">
        <v>1</v>
      </c>
      <c r="AW317">
        <v>2</v>
      </c>
      <c r="AX317">
        <v>38801582</v>
      </c>
      <c r="AY317">
        <v>1</v>
      </c>
      <c r="AZ317">
        <v>0</v>
      </c>
      <c r="BA317">
        <v>286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CX317">
        <f>Y317*Source!I606</f>
        <v>155.1</v>
      </c>
      <c r="CY317">
        <f>AD317</f>
        <v>0</v>
      </c>
      <c r="CZ317">
        <f>AH317</f>
        <v>0</v>
      </c>
      <c r="DA317">
        <f>AL317</f>
        <v>1</v>
      </c>
      <c r="DB317">
        <f t="shared" ref="DB317:DB336" si="38">ROUND(ROUND(AT317*CZ317,2),6)</f>
        <v>0</v>
      </c>
      <c r="DC317">
        <f t="shared" ref="DC317:DC336" si="39">ROUND(ROUND(AT317*AG317,2),6)</f>
        <v>0</v>
      </c>
    </row>
    <row r="318" spans="1:107" x14ac:dyDescent="0.2">
      <c r="A318">
        <f>ROW(Source!A606)</f>
        <v>606</v>
      </c>
      <c r="B318">
        <v>38799519</v>
      </c>
      <c r="C318">
        <v>38801581</v>
      </c>
      <c r="D318">
        <v>38464566</v>
      </c>
      <c r="E318">
        <v>1</v>
      </c>
      <c r="F318">
        <v>1</v>
      </c>
      <c r="G318">
        <v>27</v>
      </c>
      <c r="H318">
        <v>2</v>
      </c>
      <c r="I318" t="s">
        <v>582</v>
      </c>
      <c r="J318" t="s">
        <v>632</v>
      </c>
      <c r="K318" t="s">
        <v>584</v>
      </c>
      <c r="L318">
        <v>1368</v>
      </c>
      <c r="N318">
        <v>1011</v>
      </c>
      <c r="O318" t="s">
        <v>393</v>
      </c>
      <c r="P318" t="s">
        <v>393</v>
      </c>
      <c r="Q318">
        <v>1</v>
      </c>
      <c r="W318">
        <v>0</v>
      </c>
      <c r="X318">
        <v>-1226344697</v>
      </c>
      <c r="Y318">
        <v>0.13200000000000001</v>
      </c>
      <c r="AA318">
        <v>0</v>
      </c>
      <c r="AB318">
        <v>470.71</v>
      </c>
      <c r="AC318">
        <v>359.8</v>
      </c>
      <c r="AD318">
        <v>0</v>
      </c>
      <c r="AE318">
        <v>0</v>
      </c>
      <c r="AF318">
        <v>470.71</v>
      </c>
      <c r="AG318">
        <v>359.8</v>
      </c>
      <c r="AH318">
        <v>0</v>
      </c>
      <c r="AI318">
        <v>1</v>
      </c>
      <c r="AJ318">
        <v>1</v>
      </c>
      <c r="AK318">
        <v>1</v>
      </c>
      <c r="AL318">
        <v>1</v>
      </c>
      <c r="AN318">
        <v>0</v>
      </c>
      <c r="AO318">
        <v>1</v>
      </c>
      <c r="AP318">
        <v>0</v>
      </c>
      <c r="AQ318">
        <v>0</v>
      </c>
      <c r="AR318">
        <v>0</v>
      </c>
      <c r="AS318" t="s">
        <v>3</v>
      </c>
      <c r="AT318">
        <v>0.13200000000000001</v>
      </c>
      <c r="AU318" t="s">
        <v>3</v>
      </c>
      <c r="AV318">
        <v>0</v>
      </c>
      <c r="AW318">
        <v>2</v>
      </c>
      <c r="AX318">
        <v>38801583</v>
      </c>
      <c r="AY318">
        <v>1</v>
      </c>
      <c r="AZ318">
        <v>0</v>
      </c>
      <c r="BA318">
        <v>287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CX318">
        <f>Y318*Source!I606</f>
        <v>31.020000000000003</v>
      </c>
      <c r="CY318">
        <f>AB318</f>
        <v>470.71</v>
      </c>
      <c r="CZ318">
        <f>AF318</f>
        <v>470.71</v>
      </c>
      <c r="DA318">
        <f>AJ318</f>
        <v>1</v>
      </c>
      <c r="DB318">
        <f t="shared" si="38"/>
        <v>62.13</v>
      </c>
      <c r="DC318">
        <f t="shared" si="39"/>
        <v>47.49</v>
      </c>
    </row>
    <row r="319" spans="1:107" x14ac:dyDescent="0.2">
      <c r="A319">
        <f>ROW(Source!A606)</f>
        <v>606</v>
      </c>
      <c r="B319">
        <v>38799519</v>
      </c>
      <c r="C319">
        <v>38801581</v>
      </c>
      <c r="D319">
        <v>38465020</v>
      </c>
      <c r="E319">
        <v>1</v>
      </c>
      <c r="F319">
        <v>1</v>
      </c>
      <c r="G319">
        <v>27</v>
      </c>
      <c r="H319">
        <v>2</v>
      </c>
      <c r="I319" t="s">
        <v>633</v>
      </c>
      <c r="J319" t="s">
        <v>634</v>
      </c>
      <c r="K319" t="s">
        <v>635</v>
      </c>
      <c r="L319">
        <v>1368</v>
      </c>
      <c r="N319">
        <v>1011</v>
      </c>
      <c r="O319" t="s">
        <v>393</v>
      </c>
      <c r="P319" t="s">
        <v>393</v>
      </c>
      <c r="Q319">
        <v>1</v>
      </c>
      <c r="W319">
        <v>0</v>
      </c>
      <c r="X319">
        <v>-292475566</v>
      </c>
      <c r="Y319">
        <v>0.05</v>
      </c>
      <c r="AA319">
        <v>0</v>
      </c>
      <c r="AB319">
        <v>1090.94</v>
      </c>
      <c r="AC319">
        <v>389.28</v>
      </c>
      <c r="AD319">
        <v>0</v>
      </c>
      <c r="AE319">
        <v>0</v>
      </c>
      <c r="AF319">
        <v>1090.94</v>
      </c>
      <c r="AG319">
        <v>389.28</v>
      </c>
      <c r="AH319">
        <v>0</v>
      </c>
      <c r="AI319">
        <v>1</v>
      </c>
      <c r="AJ319">
        <v>1</v>
      </c>
      <c r="AK319">
        <v>1</v>
      </c>
      <c r="AL319">
        <v>1</v>
      </c>
      <c r="AN319">
        <v>0</v>
      </c>
      <c r="AO319">
        <v>1</v>
      </c>
      <c r="AP319">
        <v>0</v>
      </c>
      <c r="AQ319">
        <v>0</v>
      </c>
      <c r="AR319">
        <v>0</v>
      </c>
      <c r="AS319" t="s">
        <v>3</v>
      </c>
      <c r="AT319">
        <v>0.05</v>
      </c>
      <c r="AU319" t="s">
        <v>3</v>
      </c>
      <c r="AV319">
        <v>0</v>
      </c>
      <c r="AW319">
        <v>2</v>
      </c>
      <c r="AX319">
        <v>38801584</v>
      </c>
      <c r="AY319">
        <v>1</v>
      </c>
      <c r="AZ319">
        <v>0</v>
      </c>
      <c r="BA319">
        <v>288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CX319">
        <f>Y319*Source!I606</f>
        <v>11.75</v>
      </c>
      <c r="CY319">
        <f>AB319</f>
        <v>1090.94</v>
      </c>
      <c r="CZ319">
        <f>AF319</f>
        <v>1090.94</v>
      </c>
      <c r="DA319">
        <f>AJ319</f>
        <v>1</v>
      </c>
      <c r="DB319">
        <f t="shared" si="38"/>
        <v>54.55</v>
      </c>
      <c r="DC319">
        <f t="shared" si="39"/>
        <v>19.46</v>
      </c>
    </row>
    <row r="320" spans="1:107" x14ac:dyDescent="0.2">
      <c r="A320">
        <f>ROW(Source!A606)</f>
        <v>606</v>
      </c>
      <c r="B320">
        <v>38799519</v>
      </c>
      <c r="C320">
        <v>38801581</v>
      </c>
      <c r="D320">
        <v>38465082</v>
      </c>
      <c r="E320">
        <v>1</v>
      </c>
      <c r="F320">
        <v>1</v>
      </c>
      <c r="G320">
        <v>27</v>
      </c>
      <c r="H320">
        <v>2</v>
      </c>
      <c r="I320" t="s">
        <v>415</v>
      </c>
      <c r="J320" t="s">
        <v>416</v>
      </c>
      <c r="K320" t="s">
        <v>417</v>
      </c>
      <c r="L320">
        <v>1368</v>
      </c>
      <c r="N320">
        <v>1011</v>
      </c>
      <c r="O320" t="s">
        <v>393</v>
      </c>
      <c r="P320" t="s">
        <v>393</v>
      </c>
      <c r="Q320">
        <v>1</v>
      </c>
      <c r="W320">
        <v>0</v>
      </c>
      <c r="X320">
        <v>1403155342</v>
      </c>
      <c r="Y320">
        <v>0.13200000000000001</v>
      </c>
      <c r="AA320">
        <v>0</v>
      </c>
      <c r="AB320">
        <v>6.02</v>
      </c>
      <c r="AC320">
        <v>0.02</v>
      </c>
      <c r="AD320">
        <v>0</v>
      </c>
      <c r="AE320">
        <v>0</v>
      </c>
      <c r="AF320">
        <v>6.02</v>
      </c>
      <c r="AG320">
        <v>0.02</v>
      </c>
      <c r="AH320">
        <v>0</v>
      </c>
      <c r="AI320">
        <v>1</v>
      </c>
      <c r="AJ320">
        <v>1</v>
      </c>
      <c r="AK320">
        <v>1</v>
      </c>
      <c r="AL320">
        <v>1</v>
      </c>
      <c r="AN320">
        <v>0</v>
      </c>
      <c r="AO320">
        <v>1</v>
      </c>
      <c r="AP320">
        <v>0</v>
      </c>
      <c r="AQ320">
        <v>0</v>
      </c>
      <c r="AR320">
        <v>0</v>
      </c>
      <c r="AS320" t="s">
        <v>3</v>
      </c>
      <c r="AT320">
        <v>0.13200000000000001</v>
      </c>
      <c r="AU320" t="s">
        <v>3</v>
      </c>
      <c r="AV320">
        <v>0</v>
      </c>
      <c r="AW320">
        <v>2</v>
      </c>
      <c r="AX320">
        <v>38801585</v>
      </c>
      <c r="AY320">
        <v>1</v>
      </c>
      <c r="AZ320">
        <v>0</v>
      </c>
      <c r="BA320">
        <v>289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CX320">
        <f>Y320*Source!I606</f>
        <v>31.020000000000003</v>
      </c>
      <c r="CY320">
        <f>AB320</f>
        <v>6.02</v>
      </c>
      <c r="CZ320">
        <f>AF320</f>
        <v>6.02</v>
      </c>
      <c r="DA320">
        <f>AJ320</f>
        <v>1</v>
      </c>
      <c r="DB320">
        <f t="shared" si="38"/>
        <v>0.79</v>
      </c>
      <c r="DC320">
        <f t="shared" si="39"/>
        <v>0</v>
      </c>
    </row>
    <row r="321" spans="1:107" x14ac:dyDescent="0.2">
      <c r="A321">
        <f>ROW(Source!A606)</f>
        <v>606</v>
      </c>
      <c r="B321">
        <v>38799519</v>
      </c>
      <c r="C321">
        <v>38801581</v>
      </c>
      <c r="D321">
        <v>38464321</v>
      </c>
      <c r="E321">
        <v>1</v>
      </c>
      <c r="F321">
        <v>1</v>
      </c>
      <c r="G321">
        <v>27</v>
      </c>
      <c r="H321">
        <v>2</v>
      </c>
      <c r="I321" t="s">
        <v>636</v>
      </c>
      <c r="J321" t="s">
        <v>637</v>
      </c>
      <c r="K321" t="s">
        <v>638</v>
      </c>
      <c r="L321">
        <v>1368</v>
      </c>
      <c r="N321">
        <v>1011</v>
      </c>
      <c r="O321" t="s">
        <v>393</v>
      </c>
      <c r="P321" t="s">
        <v>393</v>
      </c>
      <c r="Q321">
        <v>1</v>
      </c>
      <c r="W321">
        <v>0</v>
      </c>
      <c r="X321">
        <v>-954929434</v>
      </c>
      <c r="Y321">
        <v>8.8999999999999996E-2</v>
      </c>
      <c r="AA321">
        <v>0</v>
      </c>
      <c r="AB321">
        <v>829.85</v>
      </c>
      <c r="AC321">
        <v>457.02</v>
      </c>
      <c r="AD321">
        <v>0</v>
      </c>
      <c r="AE321">
        <v>0</v>
      </c>
      <c r="AF321">
        <v>829.85</v>
      </c>
      <c r="AG321">
        <v>457.02</v>
      </c>
      <c r="AH321">
        <v>0</v>
      </c>
      <c r="AI321">
        <v>1</v>
      </c>
      <c r="AJ321">
        <v>1</v>
      </c>
      <c r="AK321">
        <v>1</v>
      </c>
      <c r="AL321">
        <v>1</v>
      </c>
      <c r="AN321">
        <v>0</v>
      </c>
      <c r="AO321">
        <v>1</v>
      </c>
      <c r="AP321">
        <v>0</v>
      </c>
      <c r="AQ321">
        <v>0</v>
      </c>
      <c r="AR321">
        <v>0</v>
      </c>
      <c r="AS321" t="s">
        <v>3</v>
      </c>
      <c r="AT321">
        <v>8.8999999999999996E-2</v>
      </c>
      <c r="AU321" t="s">
        <v>3</v>
      </c>
      <c r="AV321">
        <v>0</v>
      </c>
      <c r="AW321">
        <v>2</v>
      </c>
      <c r="AX321">
        <v>38801586</v>
      </c>
      <c r="AY321">
        <v>1</v>
      </c>
      <c r="AZ321">
        <v>0</v>
      </c>
      <c r="BA321">
        <v>290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CX321">
        <f>Y321*Source!I606</f>
        <v>20.914999999999999</v>
      </c>
      <c r="CY321">
        <f>AB321</f>
        <v>829.85</v>
      </c>
      <c r="CZ321">
        <f>AF321</f>
        <v>829.85</v>
      </c>
      <c r="DA321">
        <f>AJ321</f>
        <v>1</v>
      </c>
      <c r="DB321">
        <f t="shared" si="38"/>
        <v>73.86</v>
      </c>
      <c r="DC321">
        <f t="shared" si="39"/>
        <v>40.67</v>
      </c>
    </row>
    <row r="322" spans="1:107" x14ac:dyDescent="0.2">
      <c r="A322">
        <f>ROW(Source!A606)</f>
        <v>606</v>
      </c>
      <c r="B322">
        <v>38799519</v>
      </c>
      <c r="C322">
        <v>38801581</v>
      </c>
      <c r="D322">
        <v>38468047</v>
      </c>
      <c r="E322">
        <v>1</v>
      </c>
      <c r="F322">
        <v>1</v>
      </c>
      <c r="G322">
        <v>27</v>
      </c>
      <c r="H322">
        <v>3</v>
      </c>
      <c r="I322" t="s">
        <v>639</v>
      </c>
      <c r="J322" t="s">
        <v>640</v>
      </c>
      <c r="K322" t="s">
        <v>641</v>
      </c>
      <c r="L322">
        <v>1339</v>
      </c>
      <c r="N322">
        <v>1007</v>
      </c>
      <c r="O322" t="s">
        <v>35</v>
      </c>
      <c r="P322" t="s">
        <v>35</v>
      </c>
      <c r="Q322">
        <v>1</v>
      </c>
      <c r="W322">
        <v>0</v>
      </c>
      <c r="X322">
        <v>1480947589</v>
      </c>
      <c r="Y322">
        <v>5.8999999999999997E-2</v>
      </c>
      <c r="AA322">
        <v>3694.66</v>
      </c>
      <c r="AB322">
        <v>0</v>
      </c>
      <c r="AC322">
        <v>0</v>
      </c>
      <c r="AD322">
        <v>0</v>
      </c>
      <c r="AE322">
        <v>3694.66</v>
      </c>
      <c r="AF322">
        <v>0</v>
      </c>
      <c r="AG322">
        <v>0</v>
      </c>
      <c r="AH322">
        <v>0</v>
      </c>
      <c r="AI322">
        <v>1</v>
      </c>
      <c r="AJ322">
        <v>1</v>
      </c>
      <c r="AK322">
        <v>1</v>
      </c>
      <c r="AL322">
        <v>1</v>
      </c>
      <c r="AN322">
        <v>0</v>
      </c>
      <c r="AO322">
        <v>1</v>
      </c>
      <c r="AP322">
        <v>0</v>
      </c>
      <c r="AQ322">
        <v>0</v>
      </c>
      <c r="AR322">
        <v>0</v>
      </c>
      <c r="AS322" t="s">
        <v>3</v>
      </c>
      <c r="AT322">
        <v>5.8999999999999997E-2</v>
      </c>
      <c r="AU322" t="s">
        <v>3</v>
      </c>
      <c r="AV322">
        <v>0</v>
      </c>
      <c r="AW322">
        <v>2</v>
      </c>
      <c r="AX322">
        <v>38801587</v>
      </c>
      <c r="AY322">
        <v>1</v>
      </c>
      <c r="AZ322">
        <v>0</v>
      </c>
      <c r="BA322">
        <v>291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CX322">
        <f>Y322*Source!I606</f>
        <v>13.864999999999998</v>
      </c>
      <c r="CY322">
        <f>AA322</f>
        <v>3694.66</v>
      </c>
      <c r="CZ322">
        <f>AE322</f>
        <v>3694.66</v>
      </c>
      <c r="DA322">
        <f>AI322</f>
        <v>1</v>
      </c>
      <c r="DB322">
        <f t="shared" si="38"/>
        <v>217.98</v>
      </c>
      <c r="DC322">
        <f t="shared" si="39"/>
        <v>0</v>
      </c>
    </row>
    <row r="323" spans="1:107" x14ac:dyDescent="0.2">
      <c r="A323">
        <f>ROW(Source!A606)</f>
        <v>606</v>
      </c>
      <c r="B323">
        <v>38799519</v>
      </c>
      <c r="C323">
        <v>38801581</v>
      </c>
      <c r="D323">
        <v>38468156</v>
      </c>
      <c r="E323">
        <v>1</v>
      </c>
      <c r="F323">
        <v>1</v>
      </c>
      <c r="G323">
        <v>27</v>
      </c>
      <c r="H323">
        <v>3</v>
      </c>
      <c r="I323" t="s">
        <v>642</v>
      </c>
      <c r="J323" t="s">
        <v>643</v>
      </c>
      <c r="K323" t="s">
        <v>644</v>
      </c>
      <c r="L323">
        <v>1339</v>
      </c>
      <c r="N323">
        <v>1007</v>
      </c>
      <c r="O323" t="s">
        <v>35</v>
      </c>
      <c r="P323" t="s">
        <v>35</v>
      </c>
      <c r="Q323">
        <v>1</v>
      </c>
      <c r="W323">
        <v>0</v>
      </c>
      <c r="X323">
        <v>253260963</v>
      </c>
      <c r="Y323">
        <v>5.9999999999999995E-4</v>
      </c>
      <c r="AA323">
        <v>3392.59</v>
      </c>
      <c r="AB323">
        <v>0</v>
      </c>
      <c r="AC323">
        <v>0</v>
      </c>
      <c r="AD323">
        <v>0</v>
      </c>
      <c r="AE323">
        <v>3392.59</v>
      </c>
      <c r="AF323">
        <v>0</v>
      </c>
      <c r="AG323">
        <v>0</v>
      </c>
      <c r="AH323">
        <v>0</v>
      </c>
      <c r="AI323">
        <v>1</v>
      </c>
      <c r="AJ323">
        <v>1</v>
      </c>
      <c r="AK323">
        <v>1</v>
      </c>
      <c r="AL323">
        <v>1</v>
      </c>
      <c r="AN323">
        <v>0</v>
      </c>
      <c r="AO323">
        <v>1</v>
      </c>
      <c r="AP323">
        <v>0</v>
      </c>
      <c r="AQ323">
        <v>0</v>
      </c>
      <c r="AR323">
        <v>0</v>
      </c>
      <c r="AS323" t="s">
        <v>3</v>
      </c>
      <c r="AT323">
        <v>5.9999999999999995E-4</v>
      </c>
      <c r="AU323" t="s">
        <v>3</v>
      </c>
      <c r="AV323">
        <v>0</v>
      </c>
      <c r="AW323">
        <v>2</v>
      </c>
      <c r="AX323">
        <v>38801588</v>
      </c>
      <c r="AY323">
        <v>1</v>
      </c>
      <c r="AZ323">
        <v>0</v>
      </c>
      <c r="BA323">
        <v>292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CX323">
        <f>Y323*Source!I606</f>
        <v>0.14099999999999999</v>
      </c>
      <c r="CY323">
        <f>AA323</f>
        <v>3392.59</v>
      </c>
      <c r="CZ323">
        <f>AE323</f>
        <v>3392.59</v>
      </c>
      <c r="DA323">
        <f>AI323</f>
        <v>1</v>
      </c>
      <c r="DB323">
        <f t="shared" si="38"/>
        <v>2.04</v>
      </c>
      <c r="DC323">
        <f t="shared" si="39"/>
        <v>0</v>
      </c>
    </row>
    <row r="324" spans="1:107" x14ac:dyDescent="0.2">
      <c r="A324">
        <f>ROW(Source!A606)</f>
        <v>606</v>
      </c>
      <c r="B324">
        <v>38799519</v>
      </c>
      <c r="C324">
        <v>38801581</v>
      </c>
      <c r="D324">
        <v>38468894</v>
      </c>
      <c r="E324">
        <v>1</v>
      </c>
      <c r="F324">
        <v>1</v>
      </c>
      <c r="G324">
        <v>27</v>
      </c>
      <c r="H324">
        <v>3</v>
      </c>
      <c r="I324" t="s">
        <v>645</v>
      </c>
      <c r="J324" t="s">
        <v>646</v>
      </c>
      <c r="K324" t="s">
        <v>647</v>
      </c>
      <c r="L324">
        <v>1339</v>
      </c>
      <c r="N324">
        <v>1007</v>
      </c>
      <c r="O324" t="s">
        <v>35</v>
      </c>
      <c r="P324" t="s">
        <v>35</v>
      </c>
      <c r="Q324">
        <v>1</v>
      </c>
      <c r="W324">
        <v>0</v>
      </c>
      <c r="X324">
        <v>1857369686</v>
      </c>
      <c r="Y324">
        <v>4.36E-2</v>
      </c>
      <c r="AA324">
        <v>7833.01</v>
      </c>
      <c r="AB324">
        <v>0</v>
      </c>
      <c r="AC324">
        <v>0</v>
      </c>
      <c r="AD324">
        <v>0</v>
      </c>
      <c r="AE324">
        <v>7833.01</v>
      </c>
      <c r="AF324">
        <v>0</v>
      </c>
      <c r="AG324">
        <v>0</v>
      </c>
      <c r="AH324">
        <v>0</v>
      </c>
      <c r="AI324">
        <v>1</v>
      </c>
      <c r="AJ324">
        <v>1</v>
      </c>
      <c r="AK324">
        <v>1</v>
      </c>
      <c r="AL324">
        <v>1</v>
      </c>
      <c r="AN324">
        <v>0</v>
      </c>
      <c r="AO324">
        <v>1</v>
      </c>
      <c r="AP324">
        <v>0</v>
      </c>
      <c r="AQ324">
        <v>0</v>
      </c>
      <c r="AR324">
        <v>0</v>
      </c>
      <c r="AS324" t="s">
        <v>3</v>
      </c>
      <c r="AT324">
        <v>4.36E-2</v>
      </c>
      <c r="AU324" t="s">
        <v>3</v>
      </c>
      <c r="AV324">
        <v>0</v>
      </c>
      <c r="AW324">
        <v>2</v>
      </c>
      <c r="AX324">
        <v>38801589</v>
      </c>
      <c r="AY324">
        <v>1</v>
      </c>
      <c r="AZ324">
        <v>0</v>
      </c>
      <c r="BA324">
        <v>293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CX324">
        <f>Y324*Source!I606</f>
        <v>10.246</v>
      </c>
      <c r="CY324">
        <f>AA324</f>
        <v>7833.01</v>
      </c>
      <c r="CZ324">
        <f>AE324</f>
        <v>7833.01</v>
      </c>
      <c r="DA324">
        <f>AI324</f>
        <v>1</v>
      </c>
      <c r="DB324">
        <f t="shared" si="38"/>
        <v>341.52</v>
      </c>
      <c r="DC324">
        <f t="shared" si="39"/>
        <v>0</v>
      </c>
    </row>
    <row r="325" spans="1:107" x14ac:dyDescent="0.2">
      <c r="A325">
        <f>ROW(Source!A606)</f>
        <v>606</v>
      </c>
      <c r="B325">
        <v>38799519</v>
      </c>
      <c r="C325">
        <v>38801581</v>
      </c>
      <c r="D325">
        <v>38453717</v>
      </c>
      <c r="E325">
        <v>27</v>
      </c>
      <c r="F325">
        <v>1</v>
      </c>
      <c r="G325">
        <v>27</v>
      </c>
      <c r="H325">
        <v>3</v>
      </c>
      <c r="I325" t="s">
        <v>418</v>
      </c>
      <c r="J325" t="s">
        <v>3</v>
      </c>
      <c r="K325" t="s">
        <v>419</v>
      </c>
      <c r="L325">
        <v>1348</v>
      </c>
      <c r="N325">
        <v>1009</v>
      </c>
      <c r="O325" t="s">
        <v>155</v>
      </c>
      <c r="P325" t="s">
        <v>155</v>
      </c>
      <c r="Q325">
        <v>1000</v>
      </c>
      <c r="W325">
        <v>0</v>
      </c>
      <c r="X325">
        <v>1489638031</v>
      </c>
      <c r="Y325">
        <v>0.246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</v>
      </c>
      <c r="AJ325">
        <v>1</v>
      </c>
      <c r="AK325">
        <v>1</v>
      </c>
      <c r="AL325">
        <v>1</v>
      </c>
      <c r="AN325">
        <v>0</v>
      </c>
      <c r="AO325">
        <v>1</v>
      </c>
      <c r="AP325">
        <v>0</v>
      </c>
      <c r="AQ325">
        <v>0</v>
      </c>
      <c r="AR325">
        <v>0</v>
      </c>
      <c r="AS325" t="s">
        <v>3</v>
      </c>
      <c r="AT325">
        <v>0.246</v>
      </c>
      <c r="AU325" t="s">
        <v>3</v>
      </c>
      <c r="AV325">
        <v>0</v>
      </c>
      <c r="AW325">
        <v>2</v>
      </c>
      <c r="AX325">
        <v>38801590</v>
      </c>
      <c r="AY325">
        <v>1</v>
      </c>
      <c r="AZ325">
        <v>0</v>
      </c>
      <c r="BA325">
        <v>294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CX325">
        <f>Y325*Source!I606</f>
        <v>57.81</v>
      </c>
      <c r="CY325">
        <f>AA325</f>
        <v>0</v>
      </c>
      <c r="CZ325">
        <f>AE325</f>
        <v>0</v>
      </c>
      <c r="DA325">
        <f>AI325</f>
        <v>1</v>
      </c>
      <c r="DB325">
        <f t="shared" si="38"/>
        <v>0</v>
      </c>
      <c r="DC325">
        <f t="shared" si="39"/>
        <v>0</v>
      </c>
    </row>
    <row r="326" spans="1:107" x14ac:dyDescent="0.2">
      <c r="A326">
        <f>ROW(Source!A607)</f>
        <v>607</v>
      </c>
      <c r="B326">
        <v>38799519</v>
      </c>
      <c r="C326">
        <v>38801551</v>
      </c>
      <c r="D326">
        <v>38451941</v>
      </c>
      <c r="E326">
        <v>27</v>
      </c>
      <c r="F326">
        <v>1</v>
      </c>
      <c r="G326">
        <v>27</v>
      </c>
      <c r="H326">
        <v>1</v>
      </c>
      <c r="I326" t="s">
        <v>387</v>
      </c>
      <c r="J326" t="s">
        <v>3</v>
      </c>
      <c r="K326" t="s">
        <v>388</v>
      </c>
      <c r="L326">
        <v>1191</v>
      </c>
      <c r="N326">
        <v>1013</v>
      </c>
      <c r="O326" t="s">
        <v>389</v>
      </c>
      <c r="P326" t="s">
        <v>389</v>
      </c>
      <c r="Q326">
        <v>1</v>
      </c>
      <c r="W326">
        <v>0</v>
      </c>
      <c r="X326">
        <v>476480486</v>
      </c>
      <c r="Y326">
        <v>16.440000000000001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1</v>
      </c>
      <c r="AJ326">
        <v>1</v>
      </c>
      <c r="AK326">
        <v>1</v>
      </c>
      <c r="AL326">
        <v>1</v>
      </c>
      <c r="AN326">
        <v>0</v>
      </c>
      <c r="AO326">
        <v>1</v>
      </c>
      <c r="AP326">
        <v>0</v>
      </c>
      <c r="AQ326">
        <v>0</v>
      </c>
      <c r="AR326">
        <v>0</v>
      </c>
      <c r="AS326" t="s">
        <v>3</v>
      </c>
      <c r="AT326">
        <v>16.440000000000001</v>
      </c>
      <c r="AU326" t="s">
        <v>3</v>
      </c>
      <c r="AV326">
        <v>1</v>
      </c>
      <c r="AW326">
        <v>2</v>
      </c>
      <c r="AX326">
        <v>38801559</v>
      </c>
      <c r="AY326">
        <v>1</v>
      </c>
      <c r="AZ326">
        <v>0</v>
      </c>
      <c r="BA326">
        <v>295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CX326">
        <f>Y326*Source!I607</f>
        <v>182.498796</v>
      </c>
      <c r="CY326">
        <f>AD326</f>
        <v>0</v>
      </c>
      <c r="CZ326">
        <f>AH326</f>
        <v>0</v>
      </c>
      <c r="DA326">
        <f>AL326</f>
        <v>1</v>
      </c>
      <c r="DB326">
        <f t="shared" si="38"/>
        <v>0</v>
      </c>
      <c r="DC326">
        <f t="shared" si="39"/>
        <v>0</v>
      </c>
    </row>
    <row r="327" spans="1:107" x14ac:dyDescent="0.2">
      <c r="A327">
        <f>ROW(Source!A607)</f>
        <v>607</v>
      </c>
      <c r="B327">
        <v>38799519</v>
      </c>
      <c r="C327">
        <v>38801551</v>
      </c>
      <c r="D327">
        <v>38464567</v>
      </c>
      <c r="E327">
        <v>1</v>
      </c>
      <c r="F327">
        <v>1</v>
      </c>
      <c r="G327">
        <v>27</v>
      </c>
      <c r="H327">
        <v>2</v>
      </c>
      <c r="I327" t="s">
        <v>412</v>
      </c>
      <c r="J327" t="s">
        <v>413</v>
      </c>
      <c r="K327" t="s">
        <v>414</v>
      </c>
      <c r="L327">
        <v>1368</v>
      </c>
      <c r="N327">
        <v>1011</v>
      </c>
      <c r="O327" t="s">
        <v>393</v>
      </c>
      <c r="P327" t="s">
        <v>393</v>
      </c>
      <c r="Q327">
        <v>1</v>
      </c>
      <c r="W327">
        <v>0</v>
      </c>
      <c r="X327">
        <v>734322642</v>
      </c>
      <c r="Y327">
        <v>0.55000000000000004</v>
      </c>
      <c r="AA327">
        <v>0</v>
      </c>
      <c r="AB327">
        <v>744.2</v>
      </c>
      <c r="AC327">
        <v>423.17</v>
      </c>
      <c r="AD327">
        <v>0</v>
      </c>
      <c r="AE327">
        <v>0</v>
      </c>
      <c r="AF327">
        <v>744.2</v>
      </c>
      <c r="AG327">
        <v>423.17</v>
      </c>
      <c r="AH327">
        <v>0</v>
      </c>
      <c r="AI327">
        <v>1</v>
      </c>
      <c r="AJ327">
        <v>1</v>
      </c>
      <c r="AK327">
        <v>1</v>
      </c>
      <c r="AL327">
        <v>1</v>
      </c>
      <c r="AN327">
        <v>0</v>
      </c>
      <c r="AO327">
        <v>1</v>
      </c>
      <c r="AP327">
        <v>0</v>
      </c>
      <c r="AQ327">
        <v>0</v>
      </c>
      <c r="AR327">
        <v>0</v>
      </c>
      <c r="AS327" t="s">
        <v>3</v>
      </c>
      <c r="AT327">
        <v>0.55000000000000004</v>
      </c>
      <c r="AU327" t="s">
        <v>3</v>
      </c>
      <c r="AV327">
        <v>0</v>
      </c>
      <c r="AW327">
        <v>2</v>
      </c>
      <c r="AX327">
        <v>38801560</v>
      </c>
      <c r="AY327">
        <v>1</v>
      </c>
      <c r="AZ327">
        <v>0</v>
      </c>
      <c r="BA327">
        <v>296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CX327">
        <f>Y327*Source!I607</f>
        <v>6.1054950000000003</v>
      </c>
      <c r="CY327">
        <f>AB327</f>
        <v>744.2</v>
      </c>
      <c r="CZ327">
        <f>AF327</f>
        <v>744.2</v>
      </c>
      <c r="DA327">
        <f>AJ327</f>
        <v>1</v>
      </c>
      <c r="DB327">
        <f t="shared" si="38"/>
        <v>409.31</v>
      </c>
      <c r="DC327">
        <f t="shared" si="39"/>
        <v>232.74</v>
      </c>
    </row>
    <row r="328" spans="1:107" x14ac:dyDescent="0.2">
      <c r="A328">
        <f>ROW(Source!A607)</f>
        <v>607</v>
      </c>
      <c r="B328">
        <v>38799519</v>
      </c>
      <c r="C328">
        <v>38801551</v>
      </c>
      <c r="D328">
        <v>38464689</v>
      </c>
      <c r="E328">
        <v>1</v>
      </c>
      <c r="F328">
        <v>1</v>
      </c>
      <c r="G328">
        <v>27</v>
      </c>
      <c r="H328">
        <v>2</v>
      </c>
      <c r="I328" t="s">
        <v>441</v>
      </c>
      <c r="J328" t="s">
        <v>442</v>
      </c>
      <c r="K328" t="s">
        <v>443</v>
      </c>
      <c r="L328">
        <v>1368</v>
      </c>
      <c r="N328">
        <v>1011</v>
      </c>
      <c r="O328" t="s">
        <v>393</v>
      </c>
      <c r="P328" t="s">
        <v>393</v>
      </c>
      <c r="Q328">
        <v>1</v>
      </c>
      <c r="W328">
        <v>0</v>
      </c>
      <c r="X328">
        <v>831329057</v>
      </c>
      <c r="Y328">
        <v>0.81</v>
      </c>
      <c r="AA328">
        <v>0</v>
      </c>
      <c r="AB328">
        <v>1977.07</v>
      </c>
      <c r="AC328">
        <v>1200.6500000000001</v>
      </c>
      <c r="AD328">
        <v>0</v>
      </c>
      <c r="AE328">
        <v>0</v>
      </c>
      <c r="AF328">
        <v>1977.07</v>
      </c>
      <c r="AG328">
        <v>1200.6500000000001</v>
      </c>
      <c r="AH328">
        <v>0</v>
      </c>
      <c r="AI328">
        <v>1</v>
      </c>
      <c r="AJ328">
        <v>1</v>
      </c>
      <c r="AK328">
        <v>1</v>
      </c>
      <c r="AL328">
        <v>1</v>
      </c>
      <c r="AN328">
        <v>0</v>
      </c>
      <c r="AO328">
        <v>1</v>
      </c>
      <c r="AP328">
        <v>0</v>
      </c>
      <c r="AQ328">
        <v>0</v>
      </c>
      <c r="AR328">
        <v>0</v>
      </c>
      <c r="AS328" t="s">
        <v>3</v>
      </c>
      <c r="AT328">
        <v>0.81</v>
      </c>
      <c r="AU328" t="s">
        <v>3</v>
      </c>
      <c r="AV328">
        <v>0</v>
      </c>
      <c r="AW328">
        <v>2</v>
      </c>
      <c r="AX328">
        <v>38801561</v>
      </c>
      <c r="AY328">
        <v>1</v>
      </c>
      <c r="AZ328">
        <v>0</v>
      </c>
      <c r="BA328">
        <v>297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CX328">
        <f>Y328*Source!I607</f>
        <v>8.9917289999999994</v>
      </c>
      <c r="CY328">
        <f>AB328</f>
        <v>1977.07</v>
      </c>
      <c r="CZ328">
        <f>AF328</f>
        <v>1977.07</v>
      </c>
      <c r="DA328">
        <f>AJ328</f>
        <v>1</v>
      </c>
      <c r="DB328">
        <f t="shared" si="38"/>
        <v>1601.43</v>
      </c>
      <c r="DC328">
        <f t="shared" si="39"/>
        <v>972.53</v>
      </c>
    </row>
    <row r="329" spans="1:107" x14ac:dyDescent="0.2">
      <c r="A329">
        <f>ROW(Source!A607)</f>
        <v>607</v>
      </c>
      <c r="B329">
        <v>38799519</v>
      </c>
      <c r="C329">
        <v>38801551</v>
      </c>
      <c r="D329">
        <v>38465034</v>
      </c>
      <c r="E329">
        <v>1</v>
      </c>
      <c r="F329">
        <v>1</v>
      </c>
      <c r="G329">
        <v>27</v>
      </c>
      <c r="H329">
        <v>2</v>
      </c>
      <c r="I329" t="s">
        <v>420</v>
      </c>
      <c r="J329" t="s">
        <v>421</v>
      </c>
      <c r="K329" t="s">
        <v>422</v>
      </c>
      <c r="L329">
        <v>1368</v>
      </c>
      <c r="N329">
        <v>1011</v>
      </c>
      <c r="O329" t="s">
        <v>393</v>
      </c>
      <c r="P329" t="s">
        <v>393</v>
      </c>
      <c r="Q329">
        <v>1</v>
      </c>
      <c r="W329">
        <v>0</v>
      </c>
      <c r="X329">
        <v>-1383996176</v>
      </c>
      <c r="Y329">
        <v>1.08</v>
      </c>
      <c r="AA329">
        <v>0</v>
      </c>
      <c r="AB329">
        <v>3.75</v>
      </c>
      <c r="AC329">
        <v>2.56</v>
      </c>
      <c r="AD329">
        <v>0</v>
      </c>
      <c r="AE329">
        <v>0</v>
      </c>
      <c r="AF329">
        <v>3.75</v>
      </c>
      <c r="AG329">
        <v>2.56</v>
      </c>
      <c r="AH329">
        <v>0</v>
      </c>
      <c r="AI329">
        <v>1</v>
      </c>
      <c r="AJ329">
        <v>1</v>
      </c>
      <c r="AK329">
        <v>1</v>
      </c>
      <c r="AL329">
        <v>1</v>
      </c>
      <c r="AN329">
        <v>0</v>
      </c>
      <c r="AO329">
        <v>1</v>
      </c>
      <c r="AP329">
        <v>0</v>
      </c>
      <c r="AQ329">
        <v>0</v>
      </c>
      <c r="AR329">
        <v>0</v>
      </c>
      <c r="AS329" t="s">
        <v>3</v>
      </c>
      <c r="AT329">
        <v>1.08</v>
      </c>
      <c r="AU329" t="s">
        <v>3</v>
      </c>
      <c r="AV329">
        <v>0</v>
      </c>
      <c r="AW329">
        <v>2</v>
      </c>
      <c r="AX329">
        <v>38801562</v>
      </c>
      <c r="AY329">
        <v>1</v>
      </c>
      <c r="AZ329">
        <v>0</v>
      </c>
      <c r="BA329">
        <v>298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CX329">
        <f>Y329*Source!I607</f>
        <v>11.988972</v>
      </c>
      <c r="CY329">
        <f>AB329</f>
        <v>3.75</v>
      </c>
      <c r="CZ329">
        <f>AF329</f>
        <v>3.75</v>
      </c>
      <c r="DA329">
        <f>AJ329</f>
        <v>1</v>
      </c>
      <c r="DB329">
        <f t="shared" si="38"/>
        <v>4.05</v>
      </c>
      <c r="DC329">
        <f t="shared" si="39"/>
        <v>2.76</v>
      </c>
    </row>
    <row r="330" spans="1:107" x14ac:dyDescent="0.2">
      <c r="A330">
        <f>ROW(Source!A607)</f>
        <v>607</v>
      </c>
      <c r="B330">
        <v>38799519</v>
      </c>
      <c r="C330">
        <v>38801551</v>
      </c>
      <c r="D330">
        <v>38465228</v>
      </c>
      <c r="E330">
        <v>1</v>
      </c>
      <c r="F330">
        <v>1</v>
      </c>
      <c r="G330">
        <v>27</v>
      </c>
      <c r="H330">
        <v>3</v>
      </c>
      <c r="I330" t="s">
        <v>444</v>
      </c>
      <c r="J330" t="s">
        <v>445</v>
      </c>
      <c r="K330" t="s">
        <v>446</v>
      </c>
      <c r="L330">
        <v>1348</v>
      </c>
      <c r="N330">
        <v>1009</v>
      </c>
      <c r="O330" t="s">
        <v>155</v>
      </c>
      <c r="P330" t="s">
        <v>155</v>
      </c>
      <c r="Q330">
        <v>1000</v>
      </c>
      <c r="W330">
        <v>0</v>
      </c>
      <c r="X330">
        <v>1123680579</v>
      </c>
      <c r="Y330">
        <v>6.9000000000000006E-2</v>
      </c>
      <c r="AA330">
        <v>36258.75</v>
      </c>
      <c r="AB330">
        <v>0</v>
      </c>
      <c r="AC330">
        <v>0</v>
      </c>
      <c r="AD330">
        <v>0</v>
      </c>
      <c r="AE330">
        <v>36258.75</v>
      </c>
      <c r="AF330">
        <v>0</v>
      </c>
      <c r="AG330">
        <v>0</v>
      </c>
      <c r="AH330">
        <v>0</v>
      </c>
      <c r="AI330">
        <v>1</v>
      </c>
      <c r="AJ330">
        <v>1</v>
      </c>
      <c r="AK330">
        <v>1</v>
      </c>
      <c r="AL330">
        <v>1</v>
      </c>
      <c r="AN330">
        <v>0</v>
      </c>
      <c r="AO330">
        <v>1</v>
      </c>
      <c r="AP330">
        <v>0</v>
      </c>
      <c r="AQ330">
        <v>0</v>
      </c>
      <c r="AR330">
        <v>0</v>
      </c>
      <c r="AS330" t="s">
        <v>3</v>
      </c>
      <c r="AT330">
        <v>6.9000000000000006E-2</v>
      </c>
      <c r="AU330" t="s">
        <v>3</v>
      </c>
      <c r="AV330">
        <v>0</v>
      </c>
      <c r="AW330">
        <v>2</v>
      </c>
      <c r="AX330">
        <v>38801563</v>
      </c>
      <c r="AY330">
        <v>1</v>
      </c>
      <c r="AZ330">
        <v>0</v>
      </c>
      <c r="BA330">
        <v>299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CX330">
        <f>Y330*Source!I607</f>
        <v>0.76596209999999998</v>
      </c>
      <c r="CY330">
        <f>AA330</f>
        <v>36258.75</v>
      </c>
      <c r="CZ330">
        <f>AE330</f>
        <v>36258.75</v>
      </c>
      <c r="DA330">
        <f>AI330</f>
        <v>1</v>
      </c>
      <c r="DB330">
        <f t="shared" si="38"/>
        <v>2501.85</v>
      </c>
      <c r="DC330">
        <f t="shared" si="39"/>
        <v>0</v>
      </c>
    </row>
    <row r="331" spans="1:107" x14ac:dyDescent="0.2">
      <c r="A331">
        <f>ROW(Source!A607)</f>
        <v>607</v>
      </c>
      <c r="B331">
        <v>38799519</v>
      </c>
      <c r="C331">
        <v>38801551</v>
      </c>
      <c r="D331">
        <v>38465769</v>
      </c>
      <c r="E331">
        <v>1</v>
      </c>
      <c r="F331">
        <v>1</v>
      </c>
      <c r="G331">
        <v>27</v>
      </c>
      <c r="H331">
        <v>3</v>
      </c>
      <c r="I331" t="s">
        <v>447</v>
      </c>
      <c r="J331" t="s">
        <v>448</v>
      </c>
      <c r="K331" t="s">
        <v>449</v>
      </c>
      <c r="L331">
        <v>1339</v>
      </c>
      <c r="N331">
        <v>1007</v>
      </c>
      <c r="O331" t="s">
        <v>35</v>
      </c>
      <c r="P331" t="s">
        <v>35</v>
      </c>
      <c r="Q331">
        <v>1</v>
      </c>
      <c r="W331">
        <v>0</v>
      </c>
      <c r="X331">
        <v>-1674634845</v>
      </c>
      <c r="Y331">
        <v>0.01</v>
      </c>
      <c r="AA331">
        <v>7064.05</v>
      </c>
      <c r="AB331">
        <v>0</v>
      </c>
      <c r="AC331">
        <v>0</v>
      </c>
      <c r="AD331">
        <v>0</v>
      </c>
      <c r="AE331">
        <v>7064.05</v>
      </c>
      <c r="AF331">
        <v>0</v>
      </c>
      <c r="AG331">
        <v>0</v>
      </c>
      <c r="AH331">
        <v>0</v>
      </c>
      <c r="AI331">
        <v>1</v>
      </c>
      <c r="AJ331">
        <v>1</v>
      </c>
      <c r="AK331">
        <v>1</v>
      </c>
      <c r="AL331">
        <v>1</v>
      </c>
      <c r="AN331">
        <v>0</v>
      </c>
      <c r="AO331">
        <v>1</v>
      </c>
      <c r="AP331">
        <v>0</v>
      </c>
      <c r="AQ331">
        <v>0</v>
      </c>
      <c r="AR331">
        <v>0</v>
      </c>
      <c r="AS331" t="s">
        <v>3</v>
      </c>
      <c r="AT331">
        <v>0.01</v>
      </c>
      <c r="AU331" t="s">
        <v>3</v>
      </c>
      <c r="AV331">
        <v>0</v>
      </c>
      <c r="AW331">
        <v>2</v>
      </c>
      <c r="AX331">
        <v>38801564</v>
      </c>
      <c r="AY331">
        <v>1</v>
      </c>
      <c r="AZ331">
        <v>0</v>
      </c>
      <c r="BA331">
        <v>300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CX331">
        <f>Y331*Source!I607</f>
        <v>0.111009</v>
      </c>
      <c r="CY331">
        <f>AA331</f>
        <v>7064.05</v>
      </c>
      <c r="CZ331">
        <f>AE331</f>
        <v>7064.05</v>
      </c>
      <c r="DA331">
        <f>AI331</f>
        <v>1</v>
      </c>
      <c r="DB331">
        <f t="shared" si="38"/>
        <v>70.64</v>
      </c>
      <c r="DC331">
        <f t="shared" si="39"/>
        <v>0</v>
      </c>
    </row>
    <row r="332" spans="1:107" x14ac:dyDescent="0.2">
      <c r="A332">
        <f>ROW(Source!A607)</f>
        <v>607</v>
      </c>
      <c r="B332">
        <v>38799519</v>
      </c>
      <c r="C332">
        <v>38801551</v>
      </c>
      <c r="D332">
        <v>38468294</v>
      </c>
      <c r="E332">
        <v>1</v>
      </c>
      <c r="F332">
        <v>1</v>
      </c>
      <c r="G332">
        <v>27</v>
      </c>
      <c r="H332">
        <v>3</v>
      </c>
      <c r="I332" t="s">
        <v>450</v>
      </c>
      <c r="J332" t="s">
        <v>451</v>
      </c>
      <c r="K332" t="s">
        <v>452</v>
      </c>
      <c r="L332">
        <v>1348</v>
      </c>
      <c r="N332">
        <v>1009</v>
      </c>
      <c r="O332" t="s">
        <v>155</v>
      </c>
      <c r="P332" t="s">
        <v>155</v>
      </c>
      <c r="Q332">
        <v>1000</v>
      </c>
      <c r="W332">
        <v>0</v>
      </c>
      <c r="X332">
        <v>1103439754</v>
      </c>
      <c r="Y332">
        <v>5.79</v>
      </c>
      <c r="AA332">
        <v>2562.79</v>
      </c>
      <c r="AB332">
        <v>0</v>
      </c>
      <c r="AC332">
        <v>0</v>
      </c>
      <c r="AD332">
        <v>0</v>
      </c>
      <c r="AE332">
        <v>2562.79</v>
      </c>
      <c r="AF332">
        <v>0</v>
      </c>
      <c r="AG332">
        <v>0</v>
      </c>
      <c r="AH332">
        <v>0</v>
      </c>
      <c r="AI332">
        <v>1</v>
      </c>
      <c r="AJ332">
        <v>1</v>
      </c>
      <c r="AK332">
        <v>1</v>
      </c>
      <c r="AL332">
        <v>1</v>
      </c>
      <c r="AN332">
        <v>0</v>
      </c>
      <c r="AO332">
        <v>1</v>
      </c>
      <c r="AP332">
        <v>0</v>
      </c>
      <c r="AQ332">
        <v>0</v>
      </c>
      <c r="AR332">
        <v>0</v>
      </c>
      <c r="AS332" t="s">
        <v>3</v>
      </c>
      <c r="AT332">
        <v>5.79</v>
      </c>
      <c r="AU332" t="s">
        <v>3</v>
      </c>
      <c r="AV332">
        <v>0</v>
      </c>
      <c r="AW332">
        <v>2</v>
      </c>
      <c r="AX332">
        <v>38801565</v>
      </c>
      <c r="AY332">
        <v>1</v>
      </c>
      <c r="AZ332">
        <v>0</v>
      </c>
      <c r="BA332">
        <v>301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CX332">
        <f>Y332*Source!I607</f>
        <v>64.274210999999994</v>
      </c>
      <c r="CY332">
        <f>AA332</f>
        <v>2562.79</v>
      </c>
      <c r="CZ332">
        <f>AE332</f>
        <v>2562.79</v>
      </c>
      <c r="DA332">
        <f>AI332</f>
        <v>1</v>
      </c>
      <c r="DB332">
        <f t="shared" si="38"/>
        <v>14838.55</v>
      </c>
      <c r="DC332">
        <f t="shared" si="39"/>
        <v>0</v>
      </c>
    </row>
    <row r="333" spans="1:107" x14ac:dyDescent="0.2">
      <c r="A333">
        <f>ROW(Source!A608)</f>
        <v>608</v>
      </c>
      <c r="B333">
        <v>38799519</v>
      </c>
      <c r="C333">
        <v>38801566</v>
      </c>
      <c r="D333">
        <v>38451941</v>
      </c>
      <c r="E333">
        <v>27</v>
      </c>
      <c r="F333">
        <v>1</v>
      </c>
      <c r="G333">
        <v>27</v>
      </c>
      <c r="H333">
        <v>1</v>
      </c>
      <c r="I333" t="s">
        <v>387</v>
      </c>
      <c r="J333" t="s">
        <v>3</v>
      </c>
      <c r="K333" t="s">
        <v>388</v>
      </c>
      <c r="L333">
        <v>1191</v>
      </c>
      <c r="N333">
        <v>1013</v>
      </c>
      <c r="O333" t="s">
        <v>389</v>
      </c>
      <c r="P333" t="s">
        <v>389</v>
      </c>
      <c r="Q333">
        <v>1</v>
      </c>
      <c r="W333">
        <v>0</v>
      </c>
      <c r="X333">
        <v>476480486</v>
      </c>
      <c r="Y333">
        <v>2.31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1</v>
      </c>
      <c r="AJ333">
        <v>1</v>
      </c>
      <c r="AK333">
        <v>1</v>
      </c>
      <c r="AL333">
        <v>1</v>
      </c>
      <c r="AN333">
        <v>0</v>
      </c>
      <c r="AO333">
        <v>1</v>
      </c>
      <c r="AP333">
        <v>0</v>
      </c>
      <c r="AQ333">
        <v>0</v>
      </c>
      <c r="AR333">
        <v>0</v>
      </c>
      <c r="AS333" t="s">
        <v>3</v>
      </c>
      <c r="AT333">
        <v>2.31</v>
      </c>
      <c r="AU333" t="s">
        <v>3</v>
      </c>
      <c r="AV333">
        <v>1</v>
      </c>
      <c r="AW333">
        <v>2</v>
      </c>
      <c r="AX333">
        <v>38801571</v>
      </c>
      <c r="AY333">
        <v>1</v>
      </c>
      <c r="AZ333">
        <v>0</v>
      </c>
      <c r="BA333">
        <v>302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CX333">
        <f>Y333*Source!I608</f>
        <v>25.643079</v>
      </c>
      <c r="CY333">
        <f>AD333</f>
        <v>0</v>
      </c>
      <c r="CZ333">
        <f>AH333</f>
        <v>0</v>
      </c>
      <c r="DA333">
        <f>AL333</f>
        <v>1</v>
      </c>
      <c r="DB333">
        <f t="shared" si="38"/>
        <v>0</v>
      </c>
      <c r="DC333">
        <f t="shared" si="39"/>
        <v>0</v>
      </c>
    </row>
    <row r="334" spans="1:107" x14ac:dyDescent="0.2">
      <c r="A334">
        <f>ROW(Source!A608)</f>
        <v>608</v>
      </c>
      <c r="B334">
        <v>38799519</v>
      </c>
      <c r="C334">
        <v>38801566</v>
      </c>
      <c r="D334">
        <v>38464567</v>
      </c>
      <c r="E334">
        <v>1</v>
      </c>
      <c r="F334">
        <v>1</v>
      </c>
      <c r="G334">
        <v>27</v>
      </c>
      <c r="H334">
        <v>2</v>
      </c>
      <c r="I334" t="s">
        <v>412</v>
      </c>
      <c r="J334" t="s">
        <v>413</v>
      </c>
      <c r="K334" t="s">
        <v>414</v>
      </c>
      <c r="L334">
        <v>1368</v>
      </c>
      <c r="N334">
        <v>1011</v>
      </c>
      <c r="O334" t="s">
        <v>393</v>
      </c>
      <c r="P334" t="s">
        <v>393</v>
      </c>
      <c r="Q334">
        <v>1</v>
      </c>
      <c r="W334">
        <v>0</v>
      </c>
      <c r="X334">
        <v>734322642</v>
      </c>
      <c r="Y334">
        <v>0.14000000000000001</v>
      </c>
      <c r="AA334">
        <v>0</v>
      </c>
      <c r="AB334">
        <v>744.2</v>
      </c>
      <c r="AC334">
        <v>423.17</v>
      </c>
      <c r="AD334">
        <v>0</v>
      </c>
      <c r="AE334">
        <v>0</v>
      </c>
      <c r="AF334">
        <v>744.2</v>
      </c>
      <c r="AG334">
        <v>423.17</v>
      </c>
      <c r="AH334">
        <v>0</v>
      </c>
      <c r="AI334">
        <v>1</v>
      </c>
      <c r="AJ334">
        <v>1</v>
      </c>
      <c r="AK334">
        <v>1</v>
      </c>
      <c r="AL334">
        <v>1</v>
      </c>
      <c r="AN334">
        <v>0</v>
      </c>
      <c r="AO334">
        <v>1</v>
      </c>
      <c r="AP334">
        <v>0</v>
      </c>
      <c r="AQ334">
        <v>0</v>
      </c>
      <c r="AR334">
        <v>0</v>
      </c>
      <c r="AS334" t="s">
        <v>3</v>
      </c>
      <c r="AT334">
        <v>0.14000000000000001</v>
      </c>
      <c r="AU334" t="s">
        <v>3</v>
      </c>
      <c r="AV334">
        <v>0</v>
      </c>
      <c r="AW334">
        <v>2</v>
      </c>
      <c r="AX334">
        <v>38801572</v>
      </c>
      <c r="AY334">
        <v>1</v>
      </c>
      <c r="AZ334">
        <v>0</v>
      </c>
      <c r="BA334">
        <v>303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CX334">
        <f>Y334*Source!I608</f>
        <v>1.5541260000000001</v>
      </c>
      <c r="CY334">
        <f>AB334</f>
        <v>744.2</v>
      </c>
      <c r="CZ334">
        <f>AF334</f>
        <v>744.2</v>
      </c>
      <c r="DA334">
        <f>AJ334</f>
        <v>1</v>
      </c>
      <c r="DB334">
        <f t="shared" si="38"/>
        <v>104.19</v>
      </c>
      <c r="DC334">
        <f t="shared" si="39"/>
        <v>59.24</v>
      </c>
    </row>
    <row r="335" spans="1:107" x14ac:dyDescent="0.2">
      <c r="A335">
        <f>ROW(Source!A608)</f>
        <v>608</v>
      </c>
      <c r="B335">
        <v>38799519</v>
      </c>
      <c r="C335">
        <v>38801566</v>
      </c>
      <c r="D335">
        <v>38465034</v>
      </c>
      <c r="E335">
        <v>1</v>
      </c>
      <c r="F335">
        <v>1</v>
      </c>
      <c r="G335">
        <v>27</v>
      </c>
      <c r="H335">
        <v>2</v>
      </c>
      <c r="I335" t="s">
        <v>420</v>
      </c>
      <c r="J335" t="s">
        <v>421</v>
      </c>
      <c r="K335" t="s">
        <v>422</v>
      </c>
      <c r="L335">
        <v>1368</v>
      </c>
      <c r="N335">
        <v>1011</v>
      </c>
      <c r="O335" t="s">
        <v>393</v>
      </c>
      <c r="P335" t="s">
        <v>393</v>
      </c>
      <c r="Q335">
        <v>1</v>
      </c>
      <c r="W335">
        <v>0</v>
      </c>
      <c r="X335">
        <v>-1383996176</v>
      </c>
      <c r="Y335">
        <v>0.28000000000000003</v>
      </c>
      <c r="AA335">
        <v>0</v>
      </c>
      <c r="AB335">
        <v>3.75</v>
      </c>
      <c r="AC335">
        <v>2.56</v>
      </c>
      <c r="AD335">
        <v>0</v>
      </c>
      <c r="AE335">
        <v>0</v>
      </c>
      <c r="AF335">
        <v>3.75</v>
      </c>
      <c r="AG335">
        <v>2.56</v>
      </c>
      <c r="AH335">
        <v>0</v>
      </c>
      <c r="AI335">
        <v>1</v>
      </c>
      <c r="AJ335">
        <v>1</v>
      </c>
      <c r="AK335">
        <v>1</v>
      </c>
      <c r="AL335">
        <v>1</v>
      </c>
      <c r="AN335">
        <v>0</v>
      </c>
      <c r="AO335">
        <v>1</v>
      </c>
      <c r="AP335">
        <v>0</v>
      </c>
      <c r="AQ335">
        <v>0</v>
      </c>
      <c r="AR335">
        <v>0</v>
      </c>
      <c r="AS335" t="s">
        <v>3</v>
      </c>
      <c r="AT335">
        <v>0.28000000000000003</v>
      </c>
      <c r="AU335" t="s">
        <v>3</v>
      </c>
      <c r="AV335">
        <v>0</v>
      </c>
      <c r="AW335">
        <v>2</v>
      </c>
      <c r="AX335">
        <v>38801573</v>
      </c>
      <c r="AY335">
        <v>1</v>
      </c>
      <c r="AZ335">
        <v>0</v>
      </c>
      <c r="BA335">
        <v>304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CX335">
        <f>Y335*Source!I608</f>
        <v>3.1082520000000002</v>
      </c>
      <c r="CY335">
        <f>AB335</f>
        <v>3.75</v>
      </c>
      <c r="CZ335">
        <f>AF335</f>
        <v>3.75</v>
      </c>
      <c r="DA335">
        <f>AJ335</f>
        <v>1</v>
      </c>
      <c r="DB335">
        <f t="shared" si="38"/>
        <v>1.05</v>
      </c>
      <c r="DC335">
        <f t="shared" si="39"/>
        <v>0.72</v>
      </c>
    </row>
    <row r="336" spans="1:107" x14ac:dyDescent="0.2">
      <c r="A336">
        <f>ROW(Source!A608)</f>
        <v>608</v>
      </c>
      <c r="B336">
        <v>38799519</v>
      </c>
      <c r="C336">
        <v>38801566</v>
      </c>
      <c r="D336">
        <v>38468294</v>
      </c>
      <c r="E336">
        <v>1</v>
      </c>
      <c r="F336">
        <v>1</v>
      </c>
      <c r="G336">
        <v>27</v>
      </c>
      <c r="H336">
        <v>3</v>
      </c>
      <c r="I336" t="s">
        <v>450</v>
      </c>
      <c r="J336" t="s">
        <v>451</v>
      </c>
      <c r="K336" t="s">
        <v>452</v>
      </c>
      <c r="L336">
        <v>1348</v>
      </c>
      <c r="N336">
        <v>1009</v>
      </c>
      <c r="O336" t="s">
        <v>155</v>
      </c>
      <c r="P336" t="s">
        <v>155</v>
      </c>
      <c r="Q336">
        <v>1000</v>
      </c>
      <c r="W336">
        <v>0</v>
      </c>
      <c r="X336">
        <v>1103439754</v>
      </c>
      <c r="Y336">
        <v>1.1599999999999999</v>
      </c>
      <c r="AA336">
        <v>2562.79</v>
      </c>
      <c r="AB336">
        <v>0</v>
      </c>
      <c r="AC336">
        <v>0</v>
      </c>
      <c r="AD336">
        <v>0</v>
      </c>
      <c r="AE336">
        <v>2562.79</v>
      </c>
      <c r="AF336">
        <v>0</v>
      </c>
      <c r="AG336">
        <v>0</v>
      </c>
      <c r="AH336">
        <v>0</v>
      </c>
      <c r="AI336">
        <v>1</v>
      </c>
      <c r="AJ336">
        <v>1</v>
      </c>
      <c r="AK336">
        <v>1</v>
      </c>
      <c r="AL336">
        <v>1</v>
      </c>
      <c r="AN336">
        <v>0</v>
      </c>
      <c r="AO336">
        <v>1</v>
      </c>
      <c r="AP336">
        <v>0</v>
      </c>
      <c r="AQ336">
        <v>0</v>
      </c>
      <c r="AR336">
        <v>0</v>
      </c>
      <c r="AS336" t="s">
        <v>3</v>
      </c>
      <c r="AT336">
        <v>1.1599999999999999</v>
      </c>
      <c r="AU336" t="s">
        <v>3</v>
      </c>
      <c r="AV336">
        <v>0</v>
      </c>
      <c r="AW336">
        <v>2</v>
      </c>
      <c r="AX336">
        <v>38801574</v>
      </c>
      <c r="AY336">
        <v>1</v>
      </c>
      <c r="AZ336">
        <v>0</v>
      </c>
      <c r="BA336">
        <v>305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CX336">
        <f>Y336*Source!I608</f>
        <v>12.877043999999998</v>
      </c>
      <c r="CY336">
        <f>AA336</f>
        <v>2562.79</v>
      </c>
      <c r="CZ336">
        <f>AE336</f>
        <v>2562.79</v>
      </c>
      <c r="DA336">
        <f>AI336</f>
        <v>1</v>
      </c>
      <c r="DB336">
        <f t="shared" si="38"/>
        <v>2972.84</v>
      </c>
      <c r="DC336">
        <f t="shared" si="39"/>
        <v>0</v>
      </c>
    </row>
    <row r="337" spans="1:107" x14ac:dyDescent="0.2">
      <c r="A337">
        <f>ROW(Source!A712)</f>
        <v>712</v>
      </c>
      <c r="B337">
        <v>38799519</v>
      </c>
      <c r="C337">
        <v>38801707</v>
      </c>
      <c r="D337">
        <v>38451941</v>
      </c>
      <c r="E337">
        <v>27</v>
      </c>
      <c r="F337">
        <v>1</v>
      </c>
      <c r="G337">
        <v>27</v>
      </c>
      <c r="H337">
        <v>1</v>
      </c>
      <c r="I337" t="s">
        <v>387</v>
      </c>
      <c r="J337" t="s">
        <v>3</v>
      </c>
      <c r="K337" t="s">
        <v>388</v>
      </c>
      <c r="L337">
        <v>1191</v>
      </c>
      <c r="N337">
        <v>1013</v>
      </c>
      <c r="O337" t="s">
        <v>389</v>
      </c>
      <c r="P337" t="s">
        <v>389</v>
      </c>
      <c r="Q337">
        <v>1</v>
      </c>
      <c r="W337">
        <v>0</v>
      </c>
      <c r="X337">
        <v>476480486</v>
      </c>
      <c r="Y337">
        <v>7.2920000000000007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1</v>
      </c>
      <c r="AJ337">
        <v>1</v>
      </c>
      <c r="AK337">
        <v>1</v>
      </c>
      <c r="AL337">
        <v>1</v>
      </c>
      <c r="AN337">
        <v>0</v>
      </c>
      <c r="AO337">
        <v>1</v>
      </c>
      <c r="AP337">
        <v>1</v>
      </c>
      <c r="AQ337">
        <v>0</v>
      </c>
      <c r="AR337">
        <v>0</v>
      </c>
      <c r="AS337" t="s">
        <v>3</v>
      </c>
      <c r="AT337">
        <v>36.46</v>
      </c>
      <c r="AU337" t="s">
        <v>22</v>
      </c>
      <c r="AV337">
        <v>1</v>
      </c>
      <c r="AW337">
        <v>2</v>
      </c>
      <c r="AX337">
        <v>38801716</v>
      </c>
      <c r="AY337">
        <v>1</v>
      </c>
      <c r="AZ337">
        <v>0</v>
      </c>
      <c r="BA337">
        <v>306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CX337">
        <f>Y337*Source!I712</f>
        <v>0.54690000000000005</v>
      </c>
      <c r="CY337">
        <f>AD337</f>
        <v>0</v>
      </c>
      <c r="CZ337">
        <f>AH337</f>
        <v>0</v>
      </c>
      <c r="DA337">
        <f>AL337</f>
        <v>1</v>
      </c>
      <c r="DB337">
        <f>ROUND((ROUND(AT337*CZ337,2)*0.2),6)</f>
        <v>0</v>
      </c>
      <c r="DC337">
        <f>ROUND((ROUND(AT337*AG337,2)*0.2),6)</f>
        <v>0</v>
      </c>
    </row>
    <row r="338" spans="1:107" x14ac:dyDescent="0.2">
      <c r="A338">
        <f>ROW(Source!A712)</f>
        <v>712</v>
      </c>
      <c r="B338">
        <v>38799519</v>
      </c>
      <c r="C338">
        <v>38801707</v>
      </c>
      <c r="D338">
        <v>38464670</v>
      </c>
      <c r="E338">
        <v>1</v>
      </c>
      <c r="F338">
        <v>1</v>
      </c>
      <c r="G338">
        <v>27</v>
      </c>
      <c r="H338">
        <v>2</v>
      </c>
      <c r="I338" t="s">
        <v>390</v>
      </c>
      <c r="J338" t="s">
        <v>391</v>
      </c>
      <c r="K338" t="s">
        <v>392</v>
      </c>
      <c r="L338">
        <v>1368</v>
      </c>
      <c r="N338">
        <v>1011</v>
      </c>
      <c r="O338" t="s">
        <v>393</v>
      </c>
      <c r="P338" t="s">
        <v>393</v>
      </c>
      <c r="Q338">
        <v>1</v>
      </c>
      <c r="W338">
        <v>0</v>
      </c>
      <c r="X338">
        <v>844705367</v>
      </c>
      <c r="Y338">
        <v>4.0000000000000001E-3</v>
      </c>
      <c r="AA338">
        <v>0</v>
      </c>
      <c r="AB338">
        <v>41.19</v>
      </c>
      <c r="AC338">
        <v>0.34</v>
      </c>
      <c r="AD338">
        <v>0</v>
      </c>
      <c r="AE338">
        <v>0</v>
      </c>
      <c r="AF338">
        <v>41.19</v>
      </c>
      <c r="AG338">
        <v>0.34</v>
      </c>
      <c r="AH338">
        <v>0</v>
      </c>
      <c r="AI338">
        <v>1</v>
      </c>
      <c r="AJ338">
        <v>1</v>
      </c>
      <c r="AK338">
        <v>1</v>
      </c>
      <c r="AL338">
        <v>1</v>
      </c>
      <c r="AN338">
        <v>0</v>
      </c>
      <c r="AO338">
        <v>1</v>
      </c>
      <c r="AP338">
        <v>1</v>
      </c>
      <c r="AQ338">
        <v>0</v>
      </c>
      <c r="AR338">
        <v>0</v>
      </c>
      <c r="AS338" t="s">
        <v>3</v>
      </c>
      <c r="AT338">
        <v>0.02</v>
      </c>
      <c r="AU338" t="s">
        <v>22</v>
      </c>
      <c r="AV338">
        <v>0</v>
      </c>
      <c r="AW338">
        <v>2</v>
      </c>
      <c r="AX338">
        <v>38801717</v>
      </c>
      <c r="AY338">
        <v>1</v>
      </c>
      <c r="AZ338">
        <v>0</v>
      </c>
      <c r="BA338">
        <v>307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CX338">
        <f>Y338*Source!I712</f>
        <v>2.9999999999999997E-4</v>
      </c>
      <c r="CY338">
        <f>AB338</f>
        <v>41.19</v>
      </c>
      <c r="CZ338">
        <f>AF338</f>
        <v>41.19</v>
      </c>
      <c r="DA338">
        <f>AJ338</f>
        <v>1</v>
      </c>
      <c r="DB338">
        <f>ROUND((ROUND(AT338*CZ338,2)*0.2),6)</f>
        <v>0.16400000000000001</v>
      </c>
      <c r="DC338">
        <f>ROUND((ROUND(AT338*AG338,2)*0.2),6)</f>
        <v>2E-3</v>
      </c>
    </row>
    <row r="339" spans="1:107" x14ac:dyDescent="0.2">
      <c r="A339">
        <f>ROW(Source!A712)</f>
        <v>712</v>
      </c>
      <c r="B339">
        <v>38799519</v>
      </c>
      <c r="C339">
        <v>38801707</v>
      </c>
      <c r="D339">
        <v>38465076</v>
      </c>
      <c r="E339">
        <v>1</v>
      </c>
      <c r="F339">
        <v>1</v>
      </c>
      <c r="G339">
        <v>27</v>
      </c>
      <c r="H339">
        <v>2</v>
      </c>
      <c r="I339" t="s">
        <v>394</v>
      </c>
      <c r="J339" t="s">
        <v>395</v>
      </c>
      <c r="K339" t="s">
        <v>396</v>
      </c>
      <c r="L339">
        <v>1368</v>
      </c>
      <c r="N339">
        <v>1011</v>
      </c>
      <c r="O339" t="s">
        <v>393</v>
      </c>
      <c r="P339" t="s">
        <v>393</v>
      </c>
      <c r="Q339">
        <v>1</v>
      </c>
      <c r="W339">
        <v>0</v>
      </c>
      <c r="X339">
        <v>118009128</v>
      </c>
      <c r="Y339">
        <v>4.0000000000000008E-2</v>
      </c>
      <c r="AA339">
        <v>0</v>
      </c>
      <c r="AB339">
        <v>27.02</v>
      </c>
      <c r="AC339">
        <v>0.03</v>
      </c>
      <c r="AD339">
        <v>0</v>
      </c>
      <c r="AE339">
        <v>0</v>
      </c>
      <c r="AF339">
        <v>27.02</v>
      </c>
      <c r="AG339">
        <v>0.03</v>
      </c>
      <c r="AH339">
        <v>0</v>
      </c>
      <c r="AI339">
        <v>1</v>
      </c>
      <c r="AJ339">
        <v>1</v>
      </c>
      <c r="AK339">
        <v>1</v>
      </c>
      <c r="AL339">
        <v>1</v>
      </c>
      <c r="AN339">
        <v>0</v>
      </c>
      <c r="AO339">
        <v>1</v>
      </c>
      <c r="AP339">
        <v>1</v>
      </c>
      <c r="AQ339">
        <v>0</v>
      </c>
      <c r="AR339">
        <v>0</v>
      </c>
      <c r="AS339" t="s">
        <v>3</v>
      </c>
      <c r="AT339">
        <v>0.2</v>
      </c>
      <c r="AU339" t="s">
        <v>22</v>
      </c>
      <c r="AV339">
        <v>0</v>
      </c>
      <c r="AW339">
        <v>2</v>
      </c>
      <c r="AX339">
        <v>38801718</v>
      </c>
      <c r="AY339">
        <v>1</v>
      </c>
      <c r="AZ339">
        <v>0</v>
      </c>
      <c r="BA339">
        <v>308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CX339">
        <f>Y339*Source!I712</f>
        <v>3.0000000000000005E-3</v>
      </c>
      <c r="CY339">
        <f>AB339</f>
        <v>27.02</v>
      </c>
      <c r="CZ339">
        <f>AF339</f>
        <v>27.02</v>
      </c>
      <c r="DA339">
        <f>AJ339</f>
        <v>1</v>
      </c>
      <c r="DB339">
        <f>ROUND((ROUND(AT339*CZ339,2)*0.2),6)</f>
        <v>1.08</v>
      </c>
      <c r="DC339">
        <f>ROUND((ROUND(AT339*AG339,2)*0.2),6)</f>
        <v>2E-3</v>
      </c>
    </row>
    <row r="340" spans="1:107" x14ac:dyDescent="0.2">
      <c r="A340">
        <f>ROW(Source!A712)</f>
        <v>712</v>
      </c>
      <c r="B340">
        <v>38799519</v>
      </c>
      <c r="C340">
        <v>38801707</v>
      </c>
      <c r="D340">
        <v>38465038</v>
      </c>
      <c r="E340">
        <v>1</v>
      </c>
      <c r="F340">
        <v>1</v>
      </c>
      <c r="G340">
        <v>27</v>
      </c>
      <c r="H340">
        <v>2</v>
      </c>
      <c r="I340" t="s">
        <v>397</v>
      </c>
      <c r="J340" t="s">
        <v>398</v>
      </c>
      <c r="K340" t="s">
        <v>399</v>
      </c>
      <c r="L340">
        <v>1368</v>
      </c>
      <c r="N340">
        <v>1011</v>
      </c>
      <c r="O340" t="s">
        <v>393</v>
      </c>
      <c r="P340" t="s">
        <v>393</v>
      </c>
      <c r="Q340">
        <v>1</v>
      </c>
      <c r="W340">
        <v>0</v>
      </c>
      <c r="X340">
        <v>-2096205149</v>
      </c>
      <c r="Y340">
        <v>0.60199999999999998</v>
      </c>
      <c r="AA340">
        <v>0</v>
      </c>
      <c r="AB340">
        <v>4.71</v>
      </c>
      <c r="AC340">
        <v>1.1200000000000001</v>
      </c>
      <c r="AD340">
        <v>0</v>
      </c>
      <c r="AE340">
        <v>0</v>
      </c>
      <c r="AF340">
        <v>4.71</v>
      </c>
      <c r="AG340">
        <v>1.1200000000000001</v>
      </c>
      <c r="AH340">
        <v>0</v>
      </c>
      <c r="AI340">
        <v>1</v>
      </c>
      <c r="AJ340">
        <v>1</v>
      </c>
      <c r="AK340">
        <v>1</v>
      </c>
      <c r="AL340">
        <v>1</v>
      </c>
      <c r="AN340">
        <v>0</v>
      </c>
      <c r="AO340">
        <v>1</v>
      </c>
      <c r="AP340">
        <v>1</v>
      </c>
      <c r="AQ340">
        <v>0</v>
      </c>
      <c r="AR340">
        <v>0</v>
      </c>
      <c r="AS340" t="s">
        <v>3</v>
      </c>
      <c r="AT340">
        <v>3.01</v>
      </c>
      <c r="AU340" t="s">
        <v>22</v>
      </c>
      <c r="AV340">
        <v>0</v>
      </c>
      <c r="AW340">
        <v>2</v>
      </c>
      <c r="AX340">
        <v>38801719</v>
      </c>
      <c r="AY340">
        <v>1</v>
      </c>
      <c r="AZ340">
        <v>0</v>
      </c>
      <c r="BA340">
        <v>309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CX340">
        <f>Y340*Source!I712</f>
        <v>4.5149999999999996E-2</v>
      </c>
      <c r="CY340">
        <f>AB340</f>
        <v>4.71</v>
      </c>
      <c r="CZ340">
        <f>AF340</f>
        <v>4.71</v>
      </c>
      <c r="DA340">
        <f>AJ340</f>
        <v>1</v>
      </c>
      <c r="DB340">
        <f>ROUND((ROUND(AT340*CZ340,2)*0.2),6)</f>
        <v>2.8359999999999999</v>
      </c>
      <c r="DC340">
        <f>ROUND((ROUND(AT340*AG340,2)*0.2),6)</f>
        <v>0.67400000000000004</v>
      </c>
    </row>
    <row r="341" spans="1:107" x14ac:dyDescent="0.2">
      <c r="A341">
        <f>ROW(Source!A712)</f>
        <v>712</v>
      </c>
      <c r="B341">
        <v>38799519</v>
      </c>
      <c r="C341">
        <v>38801707</v>
      </c>
      <c r="D341">
        <v>38464353</v>
      </c>
      <c r="E341">
        <v>1</v>
      </c>
      <c r="F341">
        <v>1</v>
      </c>
      <c r="G341">
        <v>27</v>
      </c>
      <c r="H341">
        <v>2</v>
      </c>
      <c r="I341" t="s">
        <v>400</v>
      </c>
      <c r="J341" t="s">
        <v>401</v>
      </c>
      <c r="K341" t="s">
        <v>402</v>
      </c>
      <c r="L341">
        <v>1368</v>
      </c>
      <c r="N341">
        <v>1011</v>
      </c>
      <c r="O341" t="s">
        <v>393</v>
      </c>
      <c r="P341" t="s">
        <v>393</v>
      </c>
      <c r="Q341">
        <v>1</v>
      </c>
      <c r="W341">
        <v>0</v>
      </c>
      <c r="X341">
        <v>-699398312</v>
      </c>
      <c r="Y341">
        <v>0.22000000000000003</v>
      </c>
      <c r="AA341">
        <v>0</v>
      </c>
      <c r="AB341">
        <v>10.39</v>
      </c>
      <c r="AC341">
        <v>0.03</v>
      </c>
      <c r="AD341">
        <v>0</v>
      </c>
      <c r="AE341">
        <v>0</v>
      </c>
      <c r="AF341">
        <v>10.39</v>
      </c>
      <c r="AG341">
        <v>0.03</v>
      </c>
      <c r="AH341">
        <v>0</v>
      </c>
      <c r="AI341">
        <v>1</v>
      </c>
      <c r="AJ341">
        <v>1</v>
      </c>
      <c r="AK341">
        <v>1</v>
      </c>
      <c r="AL341">
        <v>1</v>
      </c>
      <c r="AN341">
        <v>0</v>
      </c>
      <c r="AO341">
        <v>1</v>
      </c>
      <c r="AP341">
        <v>1</v>
      </c>
      <c r="AQ341">
        <v>0</v>
      </c>
      <c r="AR341">
        <v>0</v>
      </c>
      <c r="AS341" t="s">
        <v>3</v>
      </c>
      <c r="AT341">
        <v>1.1000000000000001</v>
      </c>
      <c r="AU341" t="s">
        <v>22</v>
      </c>
      <c r="AV341">
        <v>0</v>
      </c>
      <c r="AW341">
        <v>2</v>
      </c>
      <c r="AX341">
        <v>38801720</v>
      </c>
      <c r="AY341">
        <v>1</v>
      </c>
      <c r="AZ341">
        <v>0</v>
      </c>
      <c r="BA341">
        <v>310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CX341">
        <f>Y341*Source!I712</f>
        <v>1.6500000000000001E-2</v>
      </c>
      <c r="CY341">
        <f>AB341</f>
        <v>10.39</v>
      </c>
      <c r="CZ341">
        <f>AF341</f>
        <v>10.39</v>
      </c>
      <c r="DA341">
        <f>AJ341</f>
        <v>1</v>
      </c>
      <c r="DB341">
        <f>ROUND((ROUND(AT341*CZ341,2)*0.2),6)</f>
        <v>2.286</v>
      </c>
      <c r="DC341">
        <f>ROUND((ROUND(AT341*AG341,2)*0.2),6)</f>
        <v>6.0000000000000001E-3</v>
      </c>
    </row>
    <row r="342" spans="1:107" x14ac:dyDescent="0.2">
      <c r="A342">
        <f>ROW(Source!A712)</f>
        <v>712</v>
      </c>
      <c r="B342">
        <v>38799519</v>
      </c>
      <c r="C342">
        <v>38801707</v>
      </c>
      <c r="D342">
        <v>38466121</v>
      </c>
      <c r="E342">
        <v>1</v>
      </c>
      <c r="F342">
        <v>1</v>
      </c>
      <c r="G342">
        <v>27</v>
      </c>
      <c r="H342">
        <v>3</v>
      </c>
      <c r="I342" t="s">
        <v>403</v>
      </c>
      <c r="J342" t="s">
        <v>404</v>
      </c>
      <c r="K342" t="s">
        <v>405</v>
      </c>
      <c r="L342">
        <v>1327</v>
      </c>
      <c r="N342">
        <v>1005</v>
      </c>
      <c r="O342" t="s">
        <v>289</v>
      </c>
      <c r="P342" t="s">
        <v>289</v>
      </c>
      <c r="Q342">
        <v>1</v>
      </c>
      <c r="W342">
        <v>0</v>
      </c>
      <c r="X342">
        <v>-1924715319</v>
      </c>
      <c r="Y342">
        <v>0</v>
      </c>
      <c r="AA342">
        <v>397.91</v>
      </c>
      <c r="AB342">
        <v>0</v>
      </c>
      <c r="AC342">
        <v>0</v>
      </c>
      <c r="AD342">
        <v>0</v>
      </c>
      <c r="AE342">
        <v>397.91</v>
      </c>
      <c r="AF342">
        <v>0</v>
      </c>
      <c r="AG342">
        <v>0</v>
      </c>
      <c r="AH342">
        <v>0</v>
      </c>
      <c r="AI342">
        <v>1</v>
      </c>
      <c r="AJ342">
        <v>1</v>
      </c>
      <c r="AK342">
        <v>1</v>
      </c>
      <c r="AL342">
        <v>1</v>
      </c>
      <c r="AN342">
        <v>0</v>
      </c>
      <c r="AO342">
        <v>1</v>
      </c>
      <c r="AP342">
        <v>1</v>
      </c>
      <c r="AQ342">
        <v>0</v>
      </c>
      <c r="AR342">
        <v>0</v>
      </c>
      <c r="AS342" t="s">
        <v>3</v>
      </c>
      <c r="AT342">
        <v>100</v>
      </c>
      <c r="AU342" t="s">
        <v>21</v>
      </c>
      <c r="AV342">
        <v>0</v>
      </c>
      <c r="AW342">
        <v>2</v>
      </c>
      <c r="AX342">
        <v>38801721</v>
      </c>
      <c r="AY342">
        <v>1</v>
      </c>
      <c r="AZ342">
        <v>0</v>
      </c>
      <c r="BA342">
        <v>311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CX342">
        <f>Y342*Source!I712</f>
        <v>0</v>
      </c>
      <c r="CY342">
        <f>AA342</f>
        <v>397.91</v>
      </c>
      <c r="CZ342">
        <f>AE342</f>
        <v>397.91</v>
      </c>
      <c r="DA342">
        <f>AI342</f>
        <v>1</v>
      </c>
      <c r="DB342">
        <f>ROUND((ROUND(AT342*CZ342,2)*0),6)</f>
        <v>0</v>
      </c>
      <c r="DC342">
        <f>ROUND((ROUND(AT342*AG342,2)*0),6)</f>
        <v>0</v>
      </c>
    </row>
    <row r="343" spans="1:107" x14ac:dyDescent="0.2">
      <c r="A343">
        <f>ROW(Source!A712)</f>
        <v>712</v>
      </c>
      <c r="B343">
        <v>38799519</v>
      </c>
      <c r="C343">
        <v>38801707</v>
      </c>
      <c r="D343">
        <v>38466153</v>
      </c>
      <c r="E343">
        <v>1</v>
      </c>
      <c r="F343">
        <v>1</v>
      </c>
      <c r="G343">
        <v>27</v>
      </c>
      <c r="H343">
        <v>3</v>
      </c>
      <c r="I343" t="s">
        <v>406</v>
      </c>
      <c r="J343" t="s">
        <v>407</v>
      </c>
      <c r="K343" t="s">
        <v>408</v>
      </c>
      <c r="L343">
        <v>1348</v>
      </c>
      <c r="N343">
        <v>1009</v>
      </c>
      <c r="O343" t="s">
        <v>155</v>
      </c>
      <c r="P343" t="s">
        <v>155</v>
      </c>
      <c r="Q343">
        <v>1000</v>
      </c>
      <c r="W343">
        <v>0</v>
      </c>
      <c r="X343">
        <v>-1675384158</v>
      </c>
      <c r="Y343">
        <v>0</v>
      </c>
      <c r="AA343">
        <v>153777.19</v>
      </c>
      <c r="AB343">
        <v>0</v>
      </c>
      <c r="AC343">
        <v>0</v>
      </c>
      <c r="AD343">
        <v>0</v>
      </c>
      <c r="AE343">
        <v>153777.19</v>
      </c>
      <c r="AF343">
        <v>0</v>
      </c>
      <c r="AG343">
        <v>0</v>
      </c>
      <c r="AH343">
        <v>0</v>
      </c>
      <c r="AI343">
        <v>1</v>
      </c>
      <c r="AJ343">
        <v>1</v>
      </c>
      <c r="AK343">
        <v>1</v>
      </c>
      <c r="AL343">
        <v>1</v>
      </c>
      <c r="AN343">
        <v>0</v>
      </c>
      <c r="AO343">
        <v>1</v>
      </c>
      <c r="AP343">
        <v>1</v>
      </c>
      <c r="AQ343">
        <v>0</v>
      </c>
      <c r="AR343">
        <v>0</v>
      </c>
      <c r="AS343" t="s">
        <v>3</v>
      </c>
      <c r="AT343">
        <v>2E-3</v>
      </c>
      <c r="AU343" t="s">
        <v>21</v>
      </c>
      <c r="AV343">
        <v>0</v>
      </c>
      <c r="AW343">
        <v>2</v>
      </c>
      <c r="AX343">
        <v>38801722</v>
      </c>
      <c r="AY343">
        <v>1</v>
      </c>
      <c r="AZ343">
        <v>0</v>
      </c>
      <c r="BA343">
        <v>312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CX343">
        <f>Y343*Source!I712</f>
        <v>0</v>
      </c>
      <c r="CY343">
        <f>AA343</f>
        <v>153777.19</v>
      </c>
      <c r="CZ343">
        <f>AE343</f>
        <v>153777.19</v>
      </c>
      <c r="DA343">
        <f>AI343</f>
        <v>1</v>
      </c>
      <c r="DB343">
        <f>ROUND((ROUND(AT343*CZ343,2)*0),6)</f>
        <v>0</v>
      </c>
      <c r="DC343">
        <f>ROUND((ROUND(AT343*AG343,2)*0),6)</f>
        <v>0</v>
      </c>
    </row>
    <row r="344" spans="1:107" x14ac:dyDescent="0.2">
      <c r="A344">
        <f>ROW(Source!A712)</f>
        <v>712</v>
      </c>
      <c r="B344">
        <v>38799519</v>
      </c>
      <c r="C344">
        <v>38801707</v>
      </c>
      <c r="D344">
        <v>38469131</v>
      </c>
      <c r="E344">
        <v>1</v>
      </c>
      <c r="F344">
        <v>1</v>
      </c>
      <c r="G344">
        <v>27</v>
      </c>
      <c r="H344">
        <v>3</v>
      </c>
      <c r="I344" t="s">
        <v>409</v>
      </c>
      <c r="J344" t="s">
        <v>410</v>
      </c>
      <c r="K344" t="s">
        <v>411</v>
      </c>
      <c r="L344">
        <v>1348</v>
      </c>
      <c r="N344">
        <v>1009</v>
      </c>
      <c r="O344" t="s">
        <v>155</v>
      </c>
      <c r="P344" t="s">
        <v>155</v>
      </c>
      <c r="Q344">
        <v>1000</v>
      </c>
      <c r="W344">
        <v>0</v>
      </c>
      <c r="X344">
        <v>-368355619</v>
      </c>
      <c r="Y344">
        <v>0</v>
      </c>
      <c r="AA344">
        <v>75026.559999999998</v>
      </c>
      <c r="AB344">
        <v>0</v>
      </c>
      <c r="AC344">
        <v>0</v>
      </c>
      <c r="AD344">
        <v>0</v>
      </c>
      <c r="AE344">
        <v>75026.559999999998</v>
      </c>
      <c r="AF344">
        <v>0</v>
      </c>
      <c r="AG344">
        <v>0</v>
      </c>
      <c r="AH344">
        <v>0</v>
      </c>
      <c r="AI344">
        <v>1</v>
      </c>
      <c r="AJ344">
        <v>1</v>
      </c>
      <c r="AK344">
        <v>1</v>
      </c>
      <c r="AL344">
        <v>1</v>
      </c>
      <c r="AN344">
        <v>0</v>
      </c>
      <c r="AO344">
        <v>1</v>
      </c>
      <c r="AP344">
        <v>1</v>
      </c>
      <c r="AQ344">
        <v>0</v>
      </c>
      <c r="AR344">
        <v>0</v>
      </c>
      <c r="AS344" t="s">
        <v>3</v>
      </c>
      <c r="AT344">
        <v>1.0999999999999999E-2</v>
      </c>
      <c r="AU344" t="s">
        <v>21</v>
      </c>
      <c r="AV344">
        <v>0</v>
      </c>
      <c r="AW344">
        <v>2</v>
      </c>
      <c r="AX344">
        <v>38801723</v>
      </c>
      <c r="AY344">
        <v>1</v>
      </c>
      <c r="AZ344">
        <v>0</v>
      </c>
      <c r="BA344">
        <v>313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CX344">
        <f>Y344*Source!I712</f>
        <v>0</v>
      </c>
      <c r="CY344">
        <f>AA344</f>
        <v>75026.559999999998</v>
      </c>
      <c r="CZ344">
        <f>AE344</f>
        <v>75026.559999999998</v>
      </c>
      <c r="DA344">
        <f>AI344</f>
        <v>1</v>
      </c>
      <c r="DB344">
        <f>ROUND((ROUND(AT344*CZ344,2)*0),6)</f>
        <v>0</v>
      </c>
      <c r="DC344">
        <f>ROUND((ROUND(AT344*AG344,2)*0),6)</f>
        <v>0</v>
      </c>
    </row>
    <row r="345" spans="1:107" x14ac:dyDescent="0.2">
      <c r="A345">
        <f>ROW(Source!A713)</f>
        <v>713</v>
      </c>
      <c r="B345">
        <v>38799519</v>
      </c>
      <c r="C345">
        <v>38801724</v>
      </c>
      <c r="D345">
        <v>38451941</v>
      </c>
      <c r="E345">
        <v>27</v>
      </c>
      <c r="F345">
        <v>1</v>
      </c>
      <c r="G345">
        <v>27</v>
      </c>
      <c r="H345">
        <v>1</v>
      </c>
      <c r="I345" t="s">
        <v>387</v>
      </c>
      <c r="J345" t="s">
        <v>3</v>
      </c>
      <c r="K345" t="s">
        <v>388</v>
      </c>
      <c r="L345">
        <v>1191</v>
      </c>
      <c r="N345">
        <v>1013</v>
      </c>
      <c r="O345" t="s">
        <v>389</v>
      </c>
      <c r="P345" t="s">
        <v>389</v>
      </c>
      <c r="Q345">
        <v>1</v>
      </c>
      <c r="W345">
        <v>0</v>
      </c>
      <c r="X345">
        <v>476480486</v>
      </c>
      <c r="Y345">
        <v>22.080000000000002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1</v>
      </c>
      <c r="AJ345">
        <v>1</v>
      </c>
      <c r="AK345">
        <v>1</v>
      </c>
      <c r="AL345">
        <v>1</v>
      </c>
      <c r="AN345">
        <v>0</v>
      </c>
      <c r="AO345">
        <v>1</v>
      </c>
      <c r="AP345">
        <v>1</v>
      </c>
      <c r="AQ345">
        <v>0</v>
      </c>
      <c r="AR345">
        <v>0</v>
      </c>
      <c r="AS345" t="s">
        <v>3</v>
      </c>
      <c r="AT345">
        <v>110.4</v>
      </c>
      <c r="AU345" t="s">
        <v>22</v>
      </c>
      <c r="AV345">
        <v>1</v>
      </c>
      <c r="AW345">
        <v>2</v>
      </c>
      <c r="AX345">
        <v>38801730</v>
      </c>
      <c r="AY345">
        <v>1</v>
      </c>
      <c r="AZ345">
        <v>0</v>
      </c>
      <c r="BA345">
        <v>314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CX345">
        <f>Y345*Source!I713</f>
        <v>5.5200000000000005</v>
      </c>
      <c r="CY345">
        <f>AD345</f>
        <v>0</v>
      </c>
      <c r="CZ345">
        <f>AH345</f>
        <v>0</v>
      </c>
      <c r="DA345">
        <f>AL345</f>
        <v>1</v>
      </c>
      <c r="DB345">
        <f>ROUND((ROUND(AT345*CZ345,2)*0.2),6)</f>
        <v>0</v>
      </c>
      <c r="DC345">
        <f>ROUND((ROUND(AT345*AG345,2)*0.2),6)</f>
        <v>0</v>
      </c>
    </row>
    <row r="346" spans="1:107" x14ac:dyDescent="0.2">
      <c r="A346">
        <f>ROW(Source!A713)</f>
        <v>713</v>
      </c>
      <c r="B346">
        <v>38799519</v>
      </c>
      <c r="C346">
        <v>38801724</v>
      </c>
      <c r="D346">
        <v>38464342</v>
      </c>
      <c r="E346">
        <v>1</v>
      </c>
      <c r="F346">
        <v>1</v>
      </c>
      <c r="G346">
        <v>27</v>
      </c>
      <c r="H346">
        <v>2</v>
      </c>
      <c r="I346" t="s">
        <v>520</v>
      </c>
      <c r="J346" t="s">
        <v>521</v>
      </c>
      <c r="K346" t="s">
        <v>522</v>
      </c>
      <c r="L346">
        <v>1368</v>
      </c>
      <c r="N346">
        <v>1011</v>
      </c>
      <c r="O346" t="s">
        <v>393</v>
      </c>
      <c r="P346" t="s">
        <v>393</v>
      </c>
      <c r="Q346">
        <v>1</v>
      </c>
      <c r="W346">
        <v>0</v>
      </c>
      <c r="X346">
        <v>-204835879</v>
      </c>
      <c r="Y346">
        <v>4.8000000000000007</v>
      </c>
      <c r="AA346">
        <v>0</v>
      </c>
      <c r="AB346">
        <v>31</v>
      </c>
      <c r="AC346">
        <v>1.35</v>
      </c>
      <c r="AD346">
        <v>0</v>
      </c>
      <c r="AE346">
        <v>0</v>
      </c>
      <c r="AF346">
        <v>31</v>
      </c>
      <c r="AG346">
        <v>1.35</v>
      </c>
      <c r="AH346">
        <v>0</v>
      </c>
      <c r="AI346">
        <v>1</v>
      </c>
      <c r="AJ346">
        <v>1</v>
      </c>
      <c r="AK346">
        <v>1</v>
      </c>
      <c r="AL346">
        <v>1</v>
      </c>
      <c r="AN346">
        <v>0</v>
      </c>
      <c r="AO346">
        <v>1</v>
      </c>
      <c r="AP346">
        <v>1</v>
      </c>
      <c r="AQ346">
        <v>0</v>
      </c>
      <c r="AR346">
        <v>0</v>
      </c>
      <c r="AS346" t="s">
        <v>3</v>
      </c>
      <c r="AT346">
        <v>24</v>
      </c>
      <c r="AU346" t="s">
        <v>22</v>
      </c>
      <c r="AV346">
        <v>0</v>
      </c>
      <c r="AW346">
        <v>2</v>
      </c>
      <c r="AX346">
        <v>38801731</v>
      </c>
      <c r="AY346">
        <v>1</v>
      </c>
      <c r="AZ346">
        <v>0</v>
      </c>
      <c r="BA346">
        <v>315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CX346">
        <f>Y346*Source!I713</f>
        <v>1.2000000000000002</v>
      </c>
      <c r="CY346">
        <f>AB346</f>
        <v>31</v>
      </c>
      <c r="CZ346">
        <f>AF346</f>
        <v>31</v>
      </c>
      <c r="DA346">
        <f>AJ346</f>
        <v>1</v>
      </c>
      <c r="DB346">
        <f>ROUND((ROUND(AT346*CZ346,2)*0.2),6)</f>
        <v>148.80000000000001</v>
      </c>
      <c r="DC346">
        <f>ROUND((ROUND(AT346*AG346,2)*0.2),6)</f>
        <v>6.48</v>
      </c>
    </row>
    <row r="347" spans="1:107" x14ac:dyDescent="0.2">
      <c r="A347">
        <f>ROW(Source!A713)</f>
        <v>713</v>
      </c>
      <c r="B347">
        <v>38799519</v>
      </c>
      <c r="C347">
        <v>38801724</v>
      </c>
      <c r="D347">
        <v>38466161</v>
      </c>
      <c r="E347">
        <v>1</v>
      </c>
      <c r="F347">
        <v>1</v>
      </c>
      <c r="G347">
        <v>27</v>
      </c>
      <c r="H347">
        <v>3</v>
      </c>
      <c r="I347" t="s">
        <v>523</v>
      </c>
      <c r="J347" t="s">
        <v>524</v>
      </c>
      <c r="K347" t="s">
        <v>525</v>
      </c>
      <c r="L347">
        <v>1348</v>
      </c>
      <c r="N347">
        <v>1009</v>
      </c>
      <c r="O347" t="s">
        <v>155</v>
      </c>
      <c r="P347" t="s">
        <v>155</v>
      </c>
      <c r="Q347">
        <v>1000</v>
      </c>
      <c r="W347">
        <v>0</v>
      </c>
      <c r="X347">
        <v>-1356276541</v>
      </c>
      <c r="Y347">
        <v>0</v>
      </c>
      <c r="AA347">
        <v>105084.63</v>
      </c>
      <c r="AB347">
        <v>0</v>
      </c>
      <c r="AC347">
        <v>0</v>
      </c>
      <c r="AD347">
        <v>0</v>
      </c>
      <c r="AE347">
        <v>105084.63</v>
      </c>
      <c r="AF347">
        <v>0</v>
      </c>
      <c r="AG347">
        <v>0</v>
      </c>
      <c r="AH347">
        <v>0</v>
      </c>
      <c r="AI347">
        <v>1</v>
      </c>
      <c r="AJ347">
        <v>1</v>
      </c>
      <c r="AK347">
        <v>1</v>
      </c>
      <c r="AL347">
        <v>1</v>
      </c>
      <c r="AN347">
        <v>0</v>
      </c>
      <c r="AO347">
        <v>1</v>
      </c>
      <c r="AP347">
        <v>1</v>
      </c>
      <c r="AQ347">
        <v>0</v>
      </c>
      <c r="AR347">
        <v>0</v>
      </c>
      <c r="AS347" t="s">
        <v>3</v>
      </c>
      <c r="AT347">
        <v>5.0000000000000001E-3</v>
      </c>
      <c r="AU347" t="s">
        <v>21</v>
      </c>
      <c r="AV347">
        <v>0</v>
      </c>
      <c r="AW347">
        <v>2</v>
      </c>
      <c r="AX347">
        <v>38801732</v>
      </c>
      <c r="AY347">
        <v>1</v>
      </c>
      <c r="AZ347">
        <v>0</v>
      </c>
      <c r="BA347">
        <v>316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CX347">
        <f>Y347*Source!I713</f>
        <v>0</v>
      </c>
      <c r="CY347">
        <f>AA347</f>
        <v>105084.63</v>
      </c>
      <c r="CZ347">
        <f>AE347</f>
        <v>105084.63</v>
      </c>
      <c r="DA347">
        <f>AI347</f>
        <v>1</v>
      </c>
      <c r="DB347">
        <f>ROUND((ROUND(AT347*CZ347,2)*0),6)</f>
        <v>0</v>
      </c>
      <c r="DC347">
        <f>ROUND((ROUND(AT347*AG347,2)*0),6)</f>
        <v>0</v>
      </c>
    </row>
    <row r="348" spans="1:107" x14ac:dyDescent="0.2">
      <c r="A348">
        <f>ROW(Source!A713)</f>
        <v>713</v>
      </c>
      <c r="B348">
        <v>38799519</v>
      </c>
      <c r="C348">
        <v>38801724</v>
      </c>
      <c r="D348">
        <v>38467018</v>
      </c>
      <c r="E348">
        <v>1</v>
      </c>
      <c r="F348">
        <v>1</v>
      </c>
      <c r="G348">
        <v>27</v>
      </c>
      <c r="H348">
        <v>3</v>
      </c>
      <c r="I348" t="s">
        <v>496</v>
      </c>
      <c r="J348" t="s">
        <v>497</v>
      </c>
      <c r="K348" t="s">
        <v>498</v>
      </c>
      <c r="L348">
        <v>1348</v>
      </c>
      <c r="N348">
        <v>1009</v>
      </c>
      <c r="O348" t="s">
        <v>155</v>
      </c>
      <c r="P348" t="s">
        <v>155</v>
      </c>
      <c r="Q348">
        <v>1000</v>
      </c>
      <c r="W348">
        <v>0</v>
      </c>
      <c r="X348">
        <v>-941081254</v>
      </c>
      <c r="Y348">
        <v>0</v>
      </c>
      <c r="AA348">
        <v>110781.14</v>
      </c>
      <c r="AB348">
        <v>0</v>
      </c>
      <c r="AC348">
        <v>0</v>
      </c>
      <c r="AD348">
        <v>0</v>
      </c>
      <c r="AE348">
        <v>110781.14</v>
      </c>
      <c r="AF348">
        <v>0</v>
      </c>
      <c r="AG348">
        <v>0</v>
      </c>
      <c r="AH348">
        <v>0</v>
      </c>
      <c r="AI348">
        <v>1</v>
      </c>
      <c r="AJ348">
        <v>1</v>
      </c>
      <c r="AK348">
        <v>1</v>
      </c>
      <c r="AL348">
        <v>1</v>
      </c>
      <c r="AN348">
        <v>0</v>
      </c>
      <c r="AO348">
        <v>1</v>
      </c>
      <c r="AP348">
        <v>1</v>
      </c>
      <c r="AQ348">
        <v>0</v>
      </c>
      <c r="AR348">
        <v>0</v>
      </c>
      <c r="AS348" t="s">
        <v>3</v>
      </c>
      <c r="AT348">
        <v>2E-3</v>
      </c>
      <c r="AU348" t="s">
        <v>21</v>
      </c>
      <c r="AV348">
        <v>0</v>
      </c>
      <c r="AW348">
        <v>2</v>
      </c>
      <c r="AX348">
        <v>38801733</v>
      </c>
      <c r="AY348">
        <v>1</v>
      </c>
      <c r="AZ348">
        <v>0</v>
      </c>
      <c r="BA348">
        <v>317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CX348">
        <f>Y348*Source!I713</f>
        <v>0</v>
      </c>
      <c r="CY348">
        <f>AA348</f>
        <v>110781.14</v>
      </c>
      <c r="CZ348">
        <f>AE348</f>
        <v>110781.14</v>
      </c>
      <c r="DA348">
        <f>AI348</f>
        <v>1</v>
      </c>
      <c r="DB348">
        <f>ROUND((ROUND(AT348*CZ348,2)*0),6)</f>
        <v>0</v>
      </c>
      <c r="DC348">
        <f>ROUND((ROUND(AT348*AG348,2)*0),6)</f>
        <v>0</v>
      </c>
    </row>
    <row r="349" spans="1:107" x14ac:dyDescent="0.2">
      <c r="A349">
        <f>ROW(Source!A713)</f>
        <v>713</v>
      </c>
      <c r="B349">
        <v>38799519</v>
      </c>
      <c r="C349">
        <v>38801724</v>
      </c>
      <c r="D349">
        <v>38469130</v>
      </c>
      <c r="E349">
        <v>1</v>
      </c>
      <c r="F349">
        <v>1</v>
      </c>
      <c r="G349">
        <v>27</v>
      </c>
      <c r="H349">
        <v>3</v>
      </c>
      <c r="I349" t="s">
        <v>572</v>
      </c>
      <c r="J349" t="s">
        <v>573</v>
      </c>
      <c r="K349" t="s">
        <v>574</v>
      </c>
      <c r="L349">
        <v>1348</v>
      </c>
      <c r="N349">
        <v>1009</v>
      </c>
      <c r="O349" t="s">
        <v>155</v>
      </c>
      <c r="P349" t="s">
        <v>155</v>
      </c>
      <c r="Q349">
        <v>1000</v>
      </c>
      <c r="W349">
        <v>0</v>
      </c>
      <c r="X349">
        <v>-135154983</v>
      </c>
      <c r="Y349">
        <v>0</v>
      </c>
      <c r="AA349">
        <v>79722.539999999994</v>
      </c>
      <c r="AB349">
        <v>0</v>
      </c>
      <c r="AC349">
        <v>0</v>
      </c>
      <c r="AD349">
        <v>0</v>
      </c>
      <c r="AE349">
        <v>79722.539999999994</v>
      </c>
      <c r="AF349">
        <v>0</v>
      </c>
      <c r="AG349">
        <v>0</v>
      </c>
      <c r="AH349">
        <v>0</v>
      </c>
      <c r="AI349">
        <v>1</v>
      </c>
      <c r="AJ349">
        <v>1</v>
      </c>
      <c r="AK349">
        <v>1</v>
      </c>
      <c r="AL349">
        <v>1</v>
      </c>
      <c r="AN349">
        <v>0</v>
      </c>
      <c r="AO349">
        <v>1</v>
      </c>
      <c r="AP349">
        <v>1</v>
      </c>
      <c r="AQ349">
        <v>0</v>
      </c>
      <c r="AR349">
        <v>0</v>
      </c>
      <c r="AS349" t="s">
        <v>3</v>
      </c>
      <c r="AT349">
        <v>1</v>
      </c>
      <c r="AU349" t="s">
        <v>21</v>
      </c>
      <c r="AV349">
        <v>0</v>
      </c>
      <c r="AW349">
        <v>2</v>
      </c>
      <c r="AX349">
        <v>38801734</v>
      </c>
      <c r="AY349">
        <v>1</v>
      </c>
      <c r="AZ349">
        <v>0</v>
      </c>
      <c r="BA349">
        <v>318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CX349">
        <f>Y349*Source!I713</f>
        <v>0</v>
      </c>
      <c r="CY349">
        <f>AA349</f>
        <v>79722.539999999994</v>
      </c>
      <c r="CZ349">
        <f>AE349</f>
        <v>79722.539999999994</v>
      </c>
      <c r="DA349">
        <f>AI349</f>
        <v>1</v>
      </c>
      <c r="DB349">
        <f>ROUND((ROUND(AT349*CZ349,2)*0),6)</f>
        <v>0</v>
      </c>
      <c r="DC349">
        <f>ROUND((ROUND(AT349*AG349,2)*0),6)</f>
        <v>0</v>
      </c>
    </row>
    <row r="350" spans="1:107" x14ac:dyDescent="0.2">
      <c r="A350">
        <f>ROW(Source!A714)</f>
        <v>714</v>
      </c>
      <c r="B350">
        <v>38799519</v>
      </c>
      <c r="C350">
        <v>38801735</v>
      </c>
      <c r="D350">
        <v>38451941</v>
      </c>
      <c r="E350">
        <v>25</v>
      </c>
      <c r="F350">
        <v>1</v>
      </c>
      <c r="G350">
        <v>27</v>
      </c>
      <c r="H350">
        <v>1</v>
      </c>
      <c r="I350" t="s">
        <v>387</v>
      </c>
      <c r="J350" t="s">
        <v>3</v>
      </c>
      <c r="K350" t="s">
        <v>388</v>
      </c>
      <c r="L350">
        <v>1191</v>
      </c>
      <c r="N350">
        <v>1013</v>
      </c>
      <c r="O350" t="s">
        <v>389</v>
      </c>
      <c r="P350" t="s">
        <v>389</v>
      </c>
      <c r="Q350">
        <v>1</v>
      </c>
      <c r="W350">
        <v>0</v>
      </c>
      <c r="X350">
        <v>476480486</v>
      </c>
      <c r="Y350">
        <v>38.979999999999997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1</v>
      </c>
      <c r="AJ350">
        <v>1</v>
      </c>
      <c r="AK350">
        <v>1</v>
      </c>
      <c r="AL350">
        <v>1</v>
      </c>
      <c r="AN350">
        <v>0</v>
      </c>
      <c r="AO350">
        <v>1</v>
      </c>
      <c r="AP350">
        <v>0</v>
      </c>
      <c r="AQ350">
        <v>0</v>
      </c>
      <c r="AR350">
        <v>0</v>
      </c>
      <c r="AS350" t="s">
        <v>3</v>
      </c>
      <c r="AT350">
        <v>38.979999999999997</v>
      </c>
      <c r="AU350" t="s">
        <v>3</v>
      </c>
      <c r="AV350">
        <v>1</v>
      </c>
      <c r="AW350">
        <v>2</v>
      </c>
      <c r="AX350">
        <v>38801740</v>
      </c>
      <c r="AY350">
        <v>1</v>
      </c>
      <c r="AZ350">
        <v>0</v>
      </c>
      <c r="BA350">
        <v>319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CX350">
        <f>Y350*Source!I714</f>
        <v>1.9489999999999998</v>
      </c>
      <c r="CY350">
        <f>AD350</f>
        <v>0</v>
      </c>
      <c r="CZ350">
        <f>AH350</f>
        <v>0</v>
      </c>
      <c r="DA350">
        <f>AL350</f>
        <v>1</v>
      </c>
      <c r="DB350">
        <f t="shared" ref="DB350:DB390" si="40">ROUND(ROUND(AT350*CZ350,2),6)</f>
        <v>0</v>
      </c>
      <c r="DC350">
        <f t="shared" ref="DC350:DC390" si="41">ROUND(ROUND(AT350*AG350,2),6)</f>
        <v>0</v>
      </c>
    </row>
    <row r="351" spans="1:107" x14ac:dyDescent="0.2">
      <c r="A351">
        <f>ROW(Source!A714)</f>
        <v>714</v>
      </c>
      <c r="B351">
        <v>38799519</v>
      </c>
      <c r="C351">
        <v>38801735</v>
      </c>
      <c r="D351">
        <v>37927811</v>
      </c>
      <c r="E351">
        <v>1</v>
      </c>
      <c r="F351">
        <v>1</v>
      </c>
      <c r="G351">
        <v>27</v>
      </c>
      <c r="H351">
        <v>2</v>
      </c>
      <c r="I351" t="s">
        <v>575</v>
      </c>
      <c r="J351" t="s">
        <v>576</v>
      </c>
      <c r="K351" t="s">
        <v>577</v>
      </c>
      <c r="L351">
        <v>1368</v>
      </c>
      <c r="N351">
        <v>1011</v>
      </c>
      <c r="O351" t="s">
        <v>393</v>
      </c>
      <c r="P351" t="s">
        <v>393</v>
      </c>
      <c r="Q351">
        <v>1</v>
      </c>
      <c r="W351">
        <v>0</v>
      </c>
      <c r="X351">
        <v>-2085106366</v>
      </c>
      <c r="Y351">
        <v>5.28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1</v>
      </c>
      <c r="AJ351">
        <v>1</v>
      </c>
      <c r="AK351">
        <v>1</v>
      </c>
      <c r="AL351">
        <v>1</v>
      </c>
      <c r="AN351">
        <v>0</v>
      </c>
      <c r="AO351">
        <v>1</v>
      </c>
      <c r="AP351">
        <v>0</v>
      </c>
      <c r="AQ351">
        <v>0</v>
      </c>
      <c r="AR351">
        <v>0</v>
      </c>
      <c r="AS351" t="s">
        <v>3</v>
      </c>
      <c r="AT351">
        <v>5.28</v>
      </c>
      <c r="AU351" t="s">
        <v>3</v>
      </c>
      <c r="AV351">
        <v>0</v>
      </c>
      <c r="AW351">
        <v>2</v>
      </c>
      <c r="AX351">
        <v>38801741</v>
      </c>
      <c r="AY351">
        <v>1</v>
      </c>
      <c r="AZ351">
        <v>0</v>
      </c>
      <c r="BA351">
        <v>320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CX351">
        <f>Y351*Source!I714</f>
        <v>0.26400000000000001</v>
      </c>
      <c r="CY351">
        <f>AB351</f>
        <v>0</v>
      </c>
      <c r="CZ351">
        <f>AF351</f>
        <v>0</v>
      </c>
      <c r="DA351">
        <f>AJ351</f>
        <v>1</v>
      </c>
      <c r="DB351">
        <f t="shared" si="40"/>
        <v>0</v>
      </c>
      <c r="DC351">
        <f t="shared" si="41"/>
        <v>0</v>
      </c>
    </row>
    <row r="352" spans="1:107" x14ac:dyDescent="0.2">
      <c r="A352">
        <f>ROW(Source!A714)</f>
        <v>714</v>
      </c>
      <c r="B352">
        <v>38799519</v>
      </c>
      <c r="C352">
        <v>38801735</v>
      </c>
      <c r="D352">
        <v>37927770</v>
      </c>
      <c r="E352">
        <v>1</v>
      </c>
      <c r="F352">
        <v>1</v>
      </c>
      <c r="G352">
        <v>27</v>
      </c>
      <c r="H352">
        <v>2</v>
      </c>
      <c r="I352" t="s">
        <v>538</v>
      </c>
      <c r="J352" t="s">
        <v>578</v>
      </c>
      <c r="K352" t="s">
        <v>540</v>
      </c>
      <c r="L352">
        <v>1368</v>
      </c>
      <c r="N352">
        <v>1011</v>
      </c>
      <c r="O352" t="s">
        <v>393</v>
      </c>
      <c r="P352" t="s">
        <v>393</v>
      </c>
      <c r="Q352">
        <v>1</v>
      </c>
      <c r="W352">
        <v>0</v>
      </c>
      <c r="X352">
        <v>1750308104</v>
      </c>
      <c r="Y352">
        <v>0.21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1</v>
      </c>
      <c r="AJ352">
        <v>1</v>
      </c>
      <c r="AK352">
        <v>1</v>
      </c>
      <c r="AL352">
        <v>1</v>
      </c>
      <c r="AN352">
        <v>0</v>
      </c>
      <c r="AO352">
        <v>1</v>
      </c>
      <c r="AP352">
        <v>0</v>
      </c>
      <c r="AQ352">
        <v>0</v>
      </c>
      <c r="AR352">
        <v>0</v>
      </c>
      <c r="AS352" t="s">
        <v>3</v>
      </c>
      <c r="AT352">
        <v>0.21</v>
      </c>
      <c r="AU352" t="s">
        <v>3</v>
      </c>
      <c r="AV352">
        <v>0</v>
      </c>
      <c r="AW352">
        <v>2</v>
      </c>
      <c r="AX352">
        <v>38801742</v>
      </c>
      <c r="AY352">
        <v>1</v>
      </c>
      <c r="AZ352">
        <v>0</v>
      </c>
      <c r="BA352">
        <v>321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CX352">
        <f>Y352*Source!I714</f>
        <v>1.0500000000000001E-2</v>
      </c>
      <c r="CY352">
        <f>AB352</f>
        <v>0</v>
      </c>
      <c r="CZ352">
        <f>AF352</f>
        <v>0</v>
      </c>
      <c r="DA352">
        <f>AJ352</f>
        <v>1</v>
      </c>
      <c r="DB352">
        <f t="shared" si="40"/>
        <v>0</v>
      </c>
      <c r="DC352">
        <f t="shared" si="41"/>
        <v>0</v>
      </c>
    </row>
    <row r="353" spans="1:107" x14ac:dyDescent="0.2">
      <c r="A353">
        <f>ROW(Source!A714)</f>
        <v>714</v>
      </c>
      <c r="B353">
        <v>38799519</v>
      </c>
      <c r="C353">
        <v>38801735</v>
      </c>
      <c r="D353">
        <v>37927788</v>
      </c>
      <c r="E353">
        <v>1</v>
      </c>
      <c r="F353">
        <v>1</v>
      </c>
      <c r="G353">
        <v>27</v>
      </c>
      <c r="H353">
        <v>2</v>
      </c>
      <c r="I353" t="s">
        <v>579</v>
      </c>
      <c r="J353" t="s">
        <v>580</v>
      </c>
      <c r="K353" t="s">
        <v>581</v>
      </c>
      <c r="L353">
        <v>1368</v>
      </c>
      <c r="N353">
        <v>1011</v>
      </c>
      <c r="O353" t="s">
        <v>393</v>
      </c>
      <c r="P353" t="s">
        <v>393</v>
      </c>
      <c r="Q353">
        <v>1</v>
      </c>
      <c r="W353">
        <v>0</v>
      </c>
      <c r="X353">
        <v>705709054</v>
      </c>
      <c r="Y353">
        <v>1.38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1</v>
      </c>
      <c r="AJ353">
        <v>1</v>
      </c>
      <c r="AK353">
        <v>1</v>
      </c>
      <c r="AL353">
        <v>1</v>
      </c>
      <c r="AN353">
        <v>0</v>
      </c>
      <c r="AO353">
        <v>1</v>
      </c>
      <c r="AP353">
        <v>0</v>
      </c>
      <c r="AQ353">
        <v>0</v>
      </c>
      <c r="AR353">
        <v>0</v>
      </c>
      <c r="AS353" t="s">
        <v>3</v>
      </c>
      <c r="AT353">
        <v>1.38</v>
      </c>
      <c r="AU353" t="s">
        <v>3</v>
      </c>
      <c r="AV353">
        <v>0</v>
      </c>
      <c r="AW353">
        <v>2</v>
      </c>
      <c r="AX353">
        <v>38801743</v>
      </c>
      <c r="AY353">
        <v>1</v>
      </c>
      <c r="AZ353">
        <v>0</v>
      </c>
      <c r="BA353">
        <v>322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CX353">
        <f>Y353*Source!I714</f>
        <v>6.8999999999999992E-2</v>
      </c>
      <c r="CY353">
        <f>AB353</f>
        <v>0</v>
      </c>
      <c r="CZ353">
        <f>AF353</f>
        <v>0</v>
      </c>
      <c r="DA353">
        <f>AJ353</f>
        <v>1</v>
      </c>
      <c r="DB353">
        <f t="shared" si="40"/>
        <v>0</v>
      </c>
      <c r="DC353">
        <f t="shared" si="41"/>
        <v>0</v>
      </c>
    </row>
    <row r="354" spans="1:107" x14ac:dyDescent="0.2">
      <c r="A354">
        <f>ROW(Source!A750)</f>
        <v>750</v>
      </c>
      <c r="B354">
        <v>38799519</v>
      </c>
      <c r="C354">
        <v>38801810</v>
      </c>
      <c r="D354">
        <v>38451941</v>
      </c>
      <c r="E354">
        <v>27</v>
      </c>
      <c r="F354">
        <v>1</v>
      </c>
      <c r="G354">
        <v>27</v>
      </c>
      <c r="H354">
        <v>1</v>
      </c>
      <c r="I354" t="s">
        <v>387</v>
      </c>
      <c r="J354" t="s">
        <v>3</v>
      </c>
      <c r="K354" t="s">
        <v>388</v>
      </c>
      <c r="L354">
        <v>1191</v>
      </c>
      <c r="N354">
        <v>1013</v>
      </c>
      <c r="O354" t="s">
        <v>389</v>
      </c>
      <c r="P354" t="s">
        <v>389</v>
      </c>
      <c r="Q354">
        <v>1</v>
      </c>
      <c r="W354">
        <v>0</v>
      </c>
      <c r="X354">
        <v>476480486</v>
      </c>
      <c r="Y354">
        <v>16.440000000000001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1</v>
      </c>
      <c r="AJ354">
        <v>1</v>
      </c>
      <c r="AK354">
        <v>1</v>
      </c>
      <c r="AL354">
        <v>1</v>
      </c>
      <c r="AN354">
        <v>0</v>
      </c>
      <c r="AO354">
        <v>1</v>
      </c>
      <c r="AP354">
        <v>0</v>
      </c>
      <c r="AQ354">
        <v>0</v>
      </c>
      <c r="AR354">
        <v>0</v>
      </c>
      <c r="AS354" t="s">
        <v>3</v>
      </c>
      <c r="AT354">
        <v>16.440000000000001</v>
      </c>
      <c r="AU354" t="s">
        <v>3</v>
      </c>
      <c r="AV354">
        <v>1</v>
      </c>
      <c r="AW354">
        <v>2</v>
      </c>
      <c r="AX354">
        <v>38801818</v>
      </c>
      <c r="AY354">
        <v>1</v>
      </c>
      <c r="AZ354">
        <v>0</v>
      </c>
      <c r="BA354">
        <v>323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CX354">
        <f>Y354*Source!I750</f>
        <v>1.3152000000000001</v>
      </c>
      <c r="CY354">
        <f>AD354</f>
        <v>0</v>
      </c>
      <c r="CZ354">
        <f>AH354</f>
        <v>0</v>
      </c>
      <c r="DA354">
        <f>AL354</f>
        <v>1</v>
      </c>
      <c r="DB354">
        <f t="shared" si="40"/>
        <v>0</v>
      </c>
      <c r="DC354">
        <f t="shared" si="41"/>
        <v>0</v>
      </c>
    </row>
    <row r="355" spans="1:107" x14ac:dyDescent="0.2">
      <c r="A355">
        <f>ROW(Source!A750)</f>
        <v>750</v>
      </c>
      <c r="B355">
        <v>38799519</v>
      </c>
      <c r="C355">
        <v>38801810</v>
      </c>
      <c r="D355">
        <v>38464567</v>
      </c>
      <c r="E355">
        <v>1</v>
      </c>
      <c r="F355">
        <v>1</v>
      </c>
      <c r="G355">
        <v>27</v>
      </c>
      <c r="H355">
        <v>2</v>
      </c>
      <c r="I355" t="s">
        <v>412</v>
      </c>
      <c r="J355" t="s">
        <v>413</v>
      </c>
      <c r="K355" t="s">
        <v>414</v>
      </c>
      <c r="L355">
        <v>1368</v>
      </c>
      <c r="N355">
        <v>1011</v>
      </c>
      <c r="O355" t="s">
        <v>393</v>
      </c>
      <c r="P355" t="s">
        <v>393</v>
      </c>
      <c r="Q355">
        <v>1</v>
      </c>
      <c r="W355">
        <v>0</v>
      </c>
      <c r="X355">
        <v>734322642</v>
      </c>
      <c r="Y355">
        <v>0.55000000000000004</v>
      </c>
      <c r="AA355">
        <v>0</v>
      </c>
      <c r="AB355">
        <v>744.2</v>
      </c>
      <c r="AC355">
        <v>423.17</v>
      </c>
      <c r="AD355">
        <v>0</v>
      </c>
      <c r="AE355">
        <v>0</v>
      </c>
      <c r="AF355">
        <v>744.2</v>
      </c>
      <c r="AG355">
        <v>423.17</v>
      </c>
      <c r="AH355">
        <v>0</v>
      </c>
      <c r="AI355">
        <v>1</v>
      </c>
      <c r="AJ355">
        <v>1</v>
      </c>
      <c r="AK355">
        <v>1</v>
      </c>
      <c r="AL355">
        <v>1</v>
      </c>
      <c r="AN355">
        <v>0</v>
      </c>
      <c r="AO355">
        <v>1</v>
      </c>
      <c r="AP355">
        <v>0</v>
      </c>
      <c r="AQ355">
        <v>0</v>
      </c>
      <c r="AR355">
        <v>0</v>
      </c>
      <c r="AS355" t="s">
        <v>3</v>
      </c>
      <c r="AT355">
        <v>0.55000000000000004</v>
      </c>
      <c r="AU355" t="s">
        <v>3</v>
      </c>
      <c r="AV355">
        <v>0</v>
      </c>
      <c r="AW355">
        <v>2</v>
      </c>
      <c r="AX355">
        <v>38801819</v>
      </c>
      <c r="AY355">
        <v>1</v>
      </c>
      <c r="AZ355">
        <v>0</v>
      </c>
      <c r="BA355">
        <v>324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CX355">
        <f>Y355*Source!I750</f>
        <v>4.4000000000000004E-2</v>
      </c>
      <c r="CY355">
        <f>AB355</f>
        <v>744.2</v>
      </c>
      <c r="CZ355">
        <f>AF355</f>
        <v>744.2</v>
      </c>
      <c r="DA355">
        <f>AJ355</f>
        <v>1</v>
      </c>
      <c r="DB355">
        <f t="shared" si="40"/>
        <v>409.31</v>
      </c>
      <c r="DC355">
        <f t="shared" si="41"/>
        <v>232.74</v>
      </c>
    </row>
    <row r="356" spans="1:107" x14ac:dyDescent="0.2">
      <c r="A356">
        <f>ROW(Source!A750)</f>
        <v>750</v>
      </c>
      <c r="B356">
        <v>38799519</v>
      </c>
      <c r="C356">
        <v>38801810</v>
      </c>
      <c r="D356">
        <v>38464689</v>
      </c>
      <c r="E356">
        <v>1</v>
      </c>
      <c r="F356">
        <v>1</v>
      </c>
      <c r="G356">
        <v>27</v>
      </c>
      <c r="H356">
        <v>2</v>
      </c>
      <c r="I356" t="s">
        <v>441</v>
      </c>
      <c r="J356" t="s">
        <v>442</v>
      </c>
      <c r="K356" t="s">
        <v>443</v>
      </c>
      <c r="L356">
        <v>1368</v>
      </c>
      <c r="N356">
        <v>1011</v>
      </c>
      <c r="O356" t="s">
        <v>393</v>
      </c>
      <c r="P356" t="s">
        <v>393</v>
      </c>
      <c r="Q356">
        <v>1</v>
      </c>
      <c r="W356">
        <v>0</v>
      </c>
      <c r="X356">
        <v>831329057</v>
      </c>
      <c r="Y356">
        <v>0.81</v>
      </c>
      <c r="AA356">
        <v>0</v>
      </c>
      <c r="AB356">
        <v>1977.07</v>
      </c>
      <c r="AC356">
        <v>1200.6500000000001</v>
      </c>
      <c r="AD356">
        <v>0</v>
      </c>
      <c r="AE356">
        <v>0</v>
      </c>
      <c r="AF356">
        <v>1977.07</v>
      </c>
      <c r="AG356">
        <v>1200.6500000000001</v>
      </c>
      <c r="AH356">
        <v>0</v>
      </c>
      <c r="AI356">
        <v>1</v>
      </c>
      <c r="AJ356">
        <v>1</v>
      </c>
      <c r="AK356">
        <v>1</v>
      </c>
      <c r="AL356">
        <v>1</v>
      </c>
      <c r="AN356">
        <v>0</v>
      </c>
      <c r="AO356">
        <v>1</v>
      </c>
      <c r="AP356">
        <v>0</v>
      </c>
      <c r="AQ356">
        <v>0</v>
      </c>
      <c r="AR356">
        <v>0</v>
      </c>
      <c r="AS356" t="s">
        <v>3</v>
      </c>
      <c r="AT356">
        <v>0.81</v>
      </c>
      <c r="AU356" t="s">
        <v>3</v>
      </c>
      <c r="AV356">
        <v>0</v>
      </c>
      <c r="AW356">
        <v>2</v>
      </c>
      <c r="AX356">
        <v>38801820</v>
      </c>
      <c r="AY356">
        <v>1</v>
      </c>
      <c r="AZ356">
        <v>0</v>
      </c>
      <c r="BA356">
        <v>325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CX356">
        <f>Y356*Source!I750</f>
        <v>6.480000000000001E-2</v>
      </c>
      <c r="CY356">
        <f>AB356</f>
        <v>1977.07</v>
      </c>
      <c r="CZ356">
        <f>AF356</f>
        <v>1977.07</v>
      </c>
      <c r="DA356">
        <f>AJ356</f>
        <v>1</v>
      </c>
      <c r="DB356">
        <f t="shared" si="40"/>
        <v>1601.43</v>
      </c>
      <c r="DC356">
        <f t="shared" si="41"/>
        <v>972.53</v>
      </c>
    </row>
    <row r="357" spans="1:107" x14ac:dyDescent="0.2">
      <c r="A357">
        <f>ROW(Source!A750)</f>
        <v>750</v>
      </c>
      <c r="B357">
        <v>38799519</v>
      </c>
      <c r="C357">
        <v>38801810</v>
      </c>
      <c r="D357">
        <v>38465034</v>
      </c>
      <c r="E357">
        <v>1</v>
      </c>
      <c r="F357">
        <v>1</v>
      </c>
      <c r="G357">
        <v>27</v>
      </c>
      <c r="H357">
        <v>2</v>
      </c>
      <c r="I357" t="s">
        <v>420</v>
      </c>
      <c r="J357" t="s">
        <v>421</v>
      </c>
      <c r="K357" t="s">
        <v>422</v>
      </c>
      <c r="L357">
        <v>1368</v>
      </c>
      <c r="N357">
        <v>1011</v>
      </c>
      <c r="O357" t="s">
        <v>393</v>
      </c>
      <c r="P357" t="s">
        <v>393</v>
      </c>
      <c r="Q357">
        <v>1</v>
      </c>
      <c r="W357">
        <v>0</v>
      </c>
      <c r="X357">
        <v>-1383996176</v>
      </c>
      <c r="Y357">
        <v>1.08</v>
      </c>
      <c r="AA357">
        <v>0</v>
      </c>
      <c r="AB357">
        <v>3.75</v>
      </c>
      <c r="AC357">
        <v>2.56</v>
      </c>
      <c r="AD357">
        <v>0</v>
      </c>
      <c r="AE357">
        <v>0</v>
      </c>
      <c r="AF357">
        <v>3.75</v>
      </c>
      <c r="AG357">
        <v>2.56</v>
      </c>
      <c r="AH357">
        <v>0</v>
      </c>
      <c r="AI357">
        <v>1</v>
      </c>
      <c r="AJ357">
        <v>1</v>
      </c>
      <c r="AK357">
        <v>1</v>
      </c>
      <c r="AL357">
        <v>1</v>
      </c>
      <c r="AN357">
        <v>0</v>
      </c>
      <c r="AO357">
        <v>1</v>
      </c>
      <c r="AP357">
        <v>0</v>
      </c>
      <c r="AQ357">
        <v>0</v>
      </c>
      <c r="AR357">
        <v>0</v>
      </c>
      <c r="AS357" t="s">
        <v>3</v>
      </c>
      <c r="AT357">
        <v>1.08</v>
      </c>
      <c r="AU357" t="s">
        <v>3</v>
      </c>
      <c r="AV357">
        <v>0</v>
      </c>
      <c r="AW357">
        <v>2</v>
      </c>
      <c r="AX357">
        <v>38801821</v>
      </c>
      <c r="AY357">
        <v>1</v>
      </c>
      <c r="AZ357">
        <v>0</v>
      </c>
      <c r="BA357">
        <v>326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CX357">
        <f>Y357*Source!I750</f>
        <v>8.6400000000000005E-2</v>
      </c>
      <c r="CY357">
        <f>AB357</f>
        <v>3.75</v>
      </c>
      <c r="CZ357">
        <f>AF357</f>
        <v>3.75</v>
      </c>
      <c r="DA357">
        <f>AJ357</f>
        <v>1</v>
      </c>
      <c r="DB357">
        <f t="shared" si="40"/>
        <v>4.05</v>
      </c>
      <c r="DC357">
        <f t="shared" si="41"/>
        <v>2.76</v>
      </c>
    </row>
    <row r="358" spans="1:107" x14ac:dyDescent="0.2">
      <c r="A358">
        <f>ROW(Source!A750)</f>
        <v>750</v>
      </c>
      <c r="B358">
        <v>38799519</v>
      </c>
      <c r="C358">
        <v>38801810</v>
      </c>
      <c r="D358">
        <v>38465228</v>
      </c>
      <c r="E358">
        <v>1</v>
      </c>
      <c r="F358">
        <v>1</v>
      </c>
      <c r="G358">
        <v>27</v>
      </c>
      <c r="H358">
        <v>3</v>
      </c>
      <c r="I358" t="s">
        <v>444</v>
      </c>
      <c r="J358" t="s">
        <v>445</v>
      </c>
      <c r="K358" t="s">
        <v>446</v>
      </c>
      <c r="L358">
        <v>1348</v>
      </c>
      <c r="N358">
        <v>1009</v>
      </c>
      <c r="O358" t="s">
        <v>155</v>
      </c>
      <c r="P358" t="s">
        <v>155</v>
      </c>
      <c r="Q358">
        <v>1000</v>
      </c>
      <c r="W358">
        <v>0</v>
      </c>
      <c r="X358">
        <v>1123680579</v>
      </c>
      <c r="Y358">
        <v>6.9000000000000006E-2</v>
      </c>
      <c r="AA358">
        <v>36258.75</v>
      </c>
      <c r="AB358">
        <v>0</v>
      </c>
      <c r="AC358">
        <v>0</v>
      </c>
      <c r="AD358">
        <v>0</v>
      </c>
      <c r="AE358">
        <v>36258.75</v>
      </c>
      <c r="AF358">
        <v>0</v>
      </c>
      <c r="AG358">
        <v>0</v>
      </c>
      <c r="AH358">
        <v>0</v>
      </c>
      <c r="AI358">
        <v>1</v>
      </c>
      <c r="AJ358">
        <v>1</v>
      </c>
      <c r="AK358">
        <v>1</v>
      </c>
      <c r="AL358">
        <v>1</v>
      </c>
      <c r="AN358">
        <v>0</v>
      </c>
      <c r="AO358">
        <v>1</v>
      </c>
      <c r="AP358">
        <v>0</v>
      </c>
      <c r="AQ358">
        <v>0</v>
      </c>
      <c r="AR358">
        <v>0</v>
      </c>
      <c r="AS358" t="s">
        <v>3</v>
      </c>
      <c r="AT358">
        <v>6.9000000000000006E-2</v>
      </c>
      <c r="AU358" t="s">
        <v>3</v>
      </c>
      <c r="AV358">
        <v>0</v>
      </c>
      <c r="AW358">
        <v>2</v>
      </c>
      <c r="AX358">
        <v>38801822</v>
      </c>
      <c r="AY358">
        <v>1</v>
      </c>
      <c r="AZ358">
        <v>0</v>
      </c>
      <c r="BA358">
        <v>327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CX358">
        <f>Y358*Source!I750</f>
        <v>5.5200000000000006E-3</v>
      </c>
      <c r="CY358">
        <f>AA358</f>
        <v>36258.75</v>
      </c>
      <c r="CZ358">
        <f>AE358</f>
        <v>36258.75</v>
      </c>
      <c r="DA358">
        <f>AI358</f>
        <v>1</v>
      </c>
      <c r="DB358">
        <f t="shared" si="40"/>
        <v>2501.85</v>
      </c>
      <c r="DC358">
        <f t="shared" si="41"/>
        <v>0</v>
      </c>
    </row>
    <row r="359" spans="1:107" x14ac:dyDescent="0.2">
      <c r="A359">
        <f>ROW(Source!A750)</f>
        <v>750</v>
      </c>
      <c r="B359">
        <v>38799519</v>
      </c>
      <c r="C359">
        <v>38801810</v>
      </c>
      <c r="D359">
        <v>38465769</v>
      </c>
      <c r="E359">
        <v>1</v>
      </c>
      <c r="F359">
        <v>1</v>
      </c>
      <c r="G359">
        <v>27</v>
      </c>
      <c r="H359">
        <v>3</v>
      </c>
      <c r="I359" t="s">
        <v>447</v>
      </c>
      <c r="J359" t="s">
        <v>448</v>
      </c>
      <c r="K359" t="s">
        <v>449</v>
      </c>
      <c r="L359">
        <v>1339</v>
      </c>
      <c r="N359">
        <v>1007</v>
      </c>
      <c r="O359" t="s">
        <v>35</v>
      </c>
      <c r="P359" t="s">
        <v>35</v>
      </c>
      <c r="Q359">
        <v>1</v>
      </c>
      <c r="W359">
        <v>0</v>
      </c>
      <c r="X359">
        <v>-1674634845</v>
      </c>
      <c r="Y359">
        <v>0.01</v>
      </c>
      <c r="AA359">
        <v>7064.05</v>
      </c>
      <c r="AB359">
        <v>0</v>
      </c>
      <c r="AC359">
        <v>0</v>
      </c>
      <c r="AD359">
        <v>0</v>
      </c>
      <c r="AE359">
        <v>7064.05</v>
      </c>
      <c r="AF359">
        <v>0</v>
      </c>
      <c r="AG359">
        <v>0</v>
      </c>
      <c r="AH359">
        <v>0</v>
      </c>
      <c r="AI359">
        <v>1</v>
      </c>
      <c r="AJ359">
        <v>1</v>
      </c>
      <c r="AK359">
        <v>1</v>
      </c>
      <c r="AL359">
        <v>1</v>
      </c>
      <c r="AN359">
        <v>0</v>
      </c>
      <c r="AO359">
        <v>1</v>
      </c>
      <c r="AP359">
        <v>0</v>
      </c>
      <c r="AQ359">
        <v>0</v>
      </c>
      <c r="AR359">
        <v>0</v>
      </c>
      <c r="AS359" t="s">
        <v>3</v>
      </c>
      <c r="AT359">
        <v>0.01</v>
      </c>
      <c r="AU359" t="s">
        <v>3</v>
      </c>
      <c r="AV359">
        <v>0</v>
      </c>
      <c r="AW359">
        <v>2</v>
      </c>
      <c r="AX359">
        <v>38801823</v>
      </c>
      <c r="AY359">
        <v>1</v>
      </c>
      <c r="AZ359">
        <v>0</v>
      </c>
      <c r="BA359">
        <v>328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CX359">
        <f>Y359*Source!I750</f>
        <v>8.0000000000000004E-4</v>
      </c>
      <c r="CY359">
        <f>AA359</f>
        <v>7064.05</v>
      </c>
      <c r="CZ359">
        <f>AE359</f>
        <v>7064.05</v>
      </c>
      <c r="DA359">
        <f>AI359</f>
        <v>1</v>
      </c>
      <c r="DB359">
        <f t="shared" si="40"/>
        <v>70.64</v>
      </c>
      <c r="DC359">
        <f t="shared" si="41"/>
        <v>0</v>
      </c>
    </row>
    <row r="360" spans="1:107" x14ac:dyDescent="0.2">
      <c r="A360">
        <f>ROW(Source!A750)</f>
        <v>750</v>
      </c>
      <c r="B360">
        <v>38799519</v>
      </c>
      <c r="C360">
        <v>38801810</v>
      </c>
      <c r="D360">
        <v>38468294</v>
      </c>
      <c r="E360">
        <v>1</v>
      </c>
      <c r="F360">
        <v>1</v>
      </c>
      <c r="G360">
        <v>27</v>
      </c>
      <c r="H360">
        <v>3</v>
      </c>
      <c r="I360" t="s">
        <v>450</v>
      </c>
      <c r="J360" t="s">
        <v>451</v>
      </c>
      <c r="K360" t="s">
        <v>452</v>
      </c>
      <c r="L360">
        <v>1348</v>
      </c>
      <c r="N360">
        <v>1009</v>
      </c>
      <c r="O360" t="s">
        <v>155</v>
      </c>
      <c r="P360" t="s">
        <v>155</v>
      </c>
      <c r="Q360">
        <v>1000</v>
      </c>
      <c r="W360">
        <v>0</v>
      </c>
      <c r="X360">
        <v>1103439754</v>
      </c>
      <c r="Y360">
        <v>5.79</v>
      </c>
      <c r="AA360">
        <v>2562.79</v>
      </c>
      <c r="AB360">
        <v>0</v>
      </c>
      <c r="AC360">
        <v>0</v>
      </c>
      <c r="AD360">
        <v>0</v>
      </c>
      <c r="AE360">
        <v>2562.79</v>
      </c>
      <c r="AF360">
        <v>0</v>
      </c>
      <c r="AG360">
        <v>0</v>
      </c>
      <c r="AH360">
        <v>0</v>
      </c>
      <c r="AI360">
        <v>1</v>
      </c>
      <c r="AJ360">
        <v>1</v>
      </c>
      <c r="AK360">
        <v>1</v>
      </c>
      <c r="AL360">
        <v>1</v>
      </c>
      <c r="AN360">
        <v>0</v>
      </c>
      <c r="AO360">
        <v>1</v>
      </c>
      <c r="AP360">
        <v>0</v>
      </c>
      <c r="AQ360">
        <v>0</v>
      </c>
      <c r="AR360">
        <v>0</v>
      </c>
      <c r="AS360" t="s">
        <v>3</v>
      </c>
      <c r="AT360">
        <v>5.79</v>
      </c>
      <c r="AU360" t="s">
        <v>3</v>
      </c>
      <c r="AV360">
        <v>0</v>
      </c>
      <c r="AW360">
        <v>2</v>
      </c>
      <c r="AX360">
        <v>38801824</v>
      </c>
      <c r="AY360">
        <v>1</v>
      </c>
      <c r="AZ360">
        <v>0</v>
      </c>
      <c r="BA360">
        <v>329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CX360">
        <f>Y360*Source!I750</f>
        <v>0.4632</v>
      </c>
      <c r="CY360">
        <f>AA360</f>
        <v>2562.79</v>
      </c>
      <c r="CZ360">
        <f>AE360</f>
        <v>2562.79</v>
      </c>
      <c r="DA360">
        <f>AI360</f>
        <v>1</v>
      </c>
      <c r="DB360">
        <f t="shared" si="40"/>
        <v>14838.55</v>
      </c>
      <c r="DC360">
        <f t="shared" si="41"/>
        <v>0</v>
      </c>
    </row>
    <row r="361" spans="1:107" x14ac:dyDescent="0.2">
      <c r="A361">
        <f>ROW(Source!A751)</f>
        <v>751</v>
      </c>
      <c r="B361">
        <v>38799519</v>
      </c>
      <c r="C361">
        <v>38801825</v>
      </c>
      <c r="D361">
        <v>38451941</v>
      </c>
      <c r="E361">
        <v>27</v>
      </c>
      <c r="F361">
        <v>1</v>
      </c>
      <c r="G361">
        <v>27</v>
      </c>
      <c r="H361">
        <v>1</v>
      </c>
      <c r="I361" t="s">
        <v>387</v>
      </c>
      <c r="J361" t="s">
        <v>3</v>
      </c>
      <c r="K361" t="s">
        <v>388</v>
      </c>
      <c r="L361">
        <v>1191</v>
      </c>
      <c r="N361">
        <v>1013</v>
      </c>
      <c r="O361" t="s">
        <v>389</v>
      </c>
      <c r="P361" t="s">
        <v>389</v>
      </c>
      <c r="Q361">
        <v>1</v>
      </c>
      <c r="W361">
        <v>0</v>
      </c>
      <c r="X361">
        <v>476480486</v>
      </c>
      <c r="Y361">
        <v>2.31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1</v>
      </c>
      <c r="AJ361">
        <v>1</v>
      </c>
      <c r="AK361">
        <v>1</v>
      </c>
      <c r="AL361">
        <v>1</v>
      </c>
      <c r="AN361">
        <v>0</v>
      </c>
      <c r="AO361">
        <v>1</v>
      </c>
      <c r="AP361">
        <v>0</v>
      </c>
      <c r="AQ361">
        <v>0</v>
      </c>
      <c r="AR361">
        <v>0</v>
      </c>
      <c r="AS361" t="s">
        <v>3</v>
      </c>
      <c r="AT361">
        <v>2.31</v>
      </c>
      <c r="AU361" t="s">
        <v>3</v>
      </c>
      <c r="AV361">
        <v>1</v>
      </c>
      <c r="AW361">
        <v>2</v>
      </c>
      <c r="AX361">
        <v>38801830</v>
      </c>
      <c r="AY361">
        <v>1</v>
      </c>
      <c r="AZ361">
        <v>0</v>
      </c>
      <c r="BA361">
        <v>330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CX361">
        <f>Y361*Source!I751</f>
        <v>0.18480000000000002</v>
      </c>
      <c r="CY361">
        <f>AD361</f>
        <v>0</v>
      </c>
      <c r="CZ361">
        <f>AH361</f>
        <v>0</v>
      </c>
      <c r="DA361">
        <f>AL361</f>
        <v>1</v>
      </c>
      <c r="DB361">
        <f t="shared" si="40"/>
        <v>0</v>
      </c>
      <c r="DC361">
        <f t="shared" si="41"/>
        <v>0</v>
      </c>
    </row>
    <row r="362" spans="1:107" x14ac:dyDescent="0.2">
      <c r="A362">
        <f>ROW(Source!A751)</f>
        <v>751</v>
      </c>
      <c r="B362">
        <v>38799519</v>
      </c>
      <c r="C362">
        <v>38801825</v>
      </c>
      <c r="D362">
        <v>38464567</v>
      </c>
      <c r="E362">
        <v>1</v>
      </c>
      <c r="F362">
        <v>1</v>
      </c>
      <c r="G362">
        <v>27</v>
      </c>
      <c r="H362">
        <v>2</v>
      </c>
      <c r="I362" t="s">
        <v>412</v>
      </c>
      <c r="J362" t="s">
        <v>413</v>
      </c>
      <c r="K362" t="s">
        <v>414</v>
      </c>
      <c r="L362">
        <v>1368</v>
      </c>
      <c r="N362">
        <v>1011</v>
      </c>
      <c r="O362" t="s">
        <v>393</v>
      </c>
      <c r="P362" t="s">
        <v>393</v>
      </c>
      <c r="Q362">
        <v>1</v>
      </c>
      <c r="W362">
        <v>0</v>
      </c>
      <c r="X362">
        <v>734322642</v>
      </c>
      <c r="Y362">
        <v>0.14000000000000001</v>
      </c>
      <c r="AA362">
        <v>0</v>
      </c>
      <c r="AB362">
        <v>744.2</v>
      </c>
      <c r="AC362">
        <v>423.17</v>
      </c>
      <c r="AD362">
        <v>0</v>
      </c>
      <c r="AE362">
        <v>0</v>
      </c>
      <c r="AF362">
        <v>744.2</v>
      </c>
      <c r="AG362">
        <v>423.17</v>
      </c>
      <c r="AH362">
        <v>0</v>
      </c>
      <c r="AI362">
        <v>1</v>
      </c>
      <c r="AJ362">
        <v>1</v>
      </c>
      <c r="AK362">
        <v>1</v>
      </c>
      <c r="AL362">
        <v>1</v>
      </c>
      <c r="AN362">
        <v>0</v>
      </c>
      <c r="AO362">
        <v>1</v>
      </c>
      <c r="AP362">
        <v>0</v>
      </c>
      <c r="AQ362">
        <v>0</v>
      </c>
      <c r="AR362">
        <v>0</v>
      </c>
      <c r="AS362" t="s">
        <v>3</v>
      </c>
      <c r="AT362">
        <v>0.14000000000000001</v>
      </c>
      <c r="AU362" t="s">
        <v>3</v>
      </c>
      <c r="AV362">
        <v>0</v>
      </c>
      <c r="AW362">
        <v>2</v>
      </c>
      <c r="AX362">
        <v>38801831</v>
      </c>
      <c r="AY362">
        <v>1</v>
      </c>
      <c r="AZ362">
        <v>0</v>
      </c>
      <c r="BA362">
        <v>331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CX362">
        <f>Y362*Source!I751</f>
        <v>1.1200000000000002E-2</v>
      </c>
      <c r="CY362">
        <f>AB362</f>
        <v>744.2</v>
      </c>
      <c r="CZ362">
        <f>AF362</f>
        <v>744.2</v>
      </c>
      <c r="DA362">
        <f>AJ362</f>
        <v>1</v>
      </c>
      <c r="DB362">
        <f t="shared" si="40"/>
        <v>104.19</v>
      </c>
      <c r="DC362">
        <f t="shared" si="41"/>
        <v>59.24</v>
      </c>
    </row>
    <row r="363" spans="1:107" x14ac:dyDescent="0.2">
      <c r="A363">
        <f>ROW(Source!A751)</f>
        <v>751</v>
      </c>
      <c r="B363">
        <v>38799519</v>
      </c>
      <c r="C363">
        <v>38801825</v>
      </c>
      <c r="D363">
        <v>38465034</v>
      </c>
      <c r="E363">
        <v>1</v>
      </c>
      <c r="F363">
        <v>1</v>
      </c>
      <c r="G363">
        <v>27</v>
      </c>
      <c r="H363">
        <v>2</v>
      </c>
      <c r="I363" t="s">
        <v>420</v>
      </c>
      <c r="J363" t="s">
        <v>421</v>
      </c>
      <c r="K363" t="s">
        <v>422</v>
      </c>
      <c r="L363">
        <v>1368</v>
      </c>
      <c r="N363">
        <v>1011</v>
      </c>
      <c r="O363" t="s">
        <v>393</v>
      </c>
      <c r="P363" t="s">
        <v>393</v>
      </c>
      <c r="Q363">
        <v>1</v>
      </c>
      <c r="W363">
        <v>0</v>
      </c>
      <c r="X363">
        <v>-1383996176</v>
      </c>
      <c r="Y363">
        <v>0.28000000000000003</v>
      </c>
      <c r="AA363">
        <v>0</v>
      </c>
      <c r="AB363">
        <v>3.75</v>
      </c>
      <c r="AC363">
        <v>2.56</v>
      </c>
      <c r="AD363">
        <v>0</v>
      </c>
      <c r="AE363">
        <v>0</v>
      </c>
      <c r="AF363">
        <v>3.75</v>
      </c>
      <c r="AG363">
        <v>2.56</v>
      </c>
      <c r="AH363">
        <v>0</v>
      </c>
      <c r="AI363">
        <v>1</v>
      </c>
      <c r="AJ363">
        <v>1</v>
      </c>
      <c r="AK363">
        <v>1</v>
      </c>
      <c r="AL363">
        <v>1</v>
      </c>
      <c r="AN363">
        <v>0</v>
      </c>
      <c r="AO363">
        <v>1</v>
      </c>
      <c r="AP363">
        <v>0</v>
      </c>
      <c r="AQ363">
        <v>0</v>
      </c>
      <c r="AR363">
        <v>0</v>
      </c>
      <c r="AS363" t="s">
        <v>3</v>
      </c>
      <c r="AT363">
        <v>0.28000000000000003</v>
      </c>
      <c r="AU363" t="s">
        <v>3</v>
      </c>
      <c r="AV363">
        <v>0</v>
      </c>
      <c r="AW363">
        <v>2</v>
      </c>
      <c r="AX363">
        <v>38801832</v>
      </c>
      <c r="AY363">
        <v>1</v>
      </c>
      <c r="AZ363">
        <v>0</v>
      </c>
      <c r="BA363">
        <v>332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CX363">
        <f>Y363*Source!I751</f>
        <v>2.2400000000000003E-2</v>
      </c>
      <c r="CY363">
        <f>AB363</f>
        <v>3.75</v>
      </c>
      <c r="CZ363">
        <f>AF363</f>
        <v>3.75</v>
      </c>
      <c r="DA363">
        <f>AJ363</f>
        <v>1</v>
      </c>
      <c r="DB363">
        <f t="shared" si="40"/>
        <v>1.05</v>
      </c>
      <c r="DC363">
        <f t="shared" si="41"/>
        <v>0.72</v>
      </c>
    </row>
    <row r="364" spans="1:107" x14ac:dyDescent="0.2">
      <c r="A364">
        <f>ROW(Source!A751)</f>
        <v>751</v>
      </c>
      <c r="B364">
        <v>38799519</v>
      </c>
      <c r="C364">
        <v>38801825</v>
      </c>
      <c r="D364">
        <v>38468294</v>
      </c>
      <c r="E364">
        <v>1</v>
      </c>
      <c r="F364">
        <v>1</v>
      </c>
      <c r="G364">
        <v>27</v>
      </c>
      <c r="H364">
        <v>3</v>
      </c>
      <c r="I364" t="s">
        <v>450</v>
      </c>
      <c r="J364" t="s">
        <v>451</v>
      </c>
      <c r="K364" t="s">
        <v>452</v>
      </c>
      <c r="L364">
        <v>1348</v>
      </c>
      <c r="N364">
        <v>1009</v>
      </c>
      <c r="O364" t="s">
        <v>155</v>
      </c>
      <c r="P364" t="s">
        <v>155</v>
      </c>
      <c r="Q364">
        <v>1000</v>
      </c>
      <c r="W364">
        <v>0</v>
      </c>
      <c r="X364">
        <v>1103439754</v>
      </c>
      <c r="Y364">
        <v>1.1599999999999999</v>
      </c>
      <c r="AA364">
        <v>2562.79</v>
      </c>
      <c r="AB364">
        <v>0</v>
      </c>
      <c r="AC364">
        <v>0</v>
      </c>
      <c r="AD364">
        <v>0</v>
      </c>
      <c r="AE364">
        <v>2562.79</v>
      </c>
      <c r="AF364">
        <v>0</v>
      </c>
      <c r="AG364">
        <v>0</v>
      </c>
      <c r="AH364">
        <v>0</v>
      </c>
      <c r="AI364">
        <v>1</v>
      </c>
      <c r="AJ364">
        <v>1</v>
      </c>
      <c r="AK364">
        <v>1</v>
      </c>
      <c r="AL364">
        <v>1</v>
      </c>
      <c r="AN364">
        <v>0</v>
      </c>
      <c r="AO364">
        <v>1</v>
      </c>
      <c r="AP364">
        <v>0</v>
      </c>
      <c r="AQ364">
        <v>0</v>
      </c>
      <c r="AR364">
        <v>0</v>
      </c>
      <c r="AS364" t="s">
        <v>3</v>
      </c>
      <c r="AT364">
        <v>1.1599999999999999</v>
      </c>
      <c r="AU364" t="s">
        <v>3</v>
      </c>
      <c r="AV364">
        <v>0</v>
      </c>
      <c r="AW364">
        <v>2</v>
      </c>
      <c r="AX364">
        <v>38801833</v>
      </c>
      <c r="AY364">
        <v>1</v>
      </c>
      <c r="AZ364">
        <v>0</v>
      </c>
      <c r="BA364">
        <v>333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CX364">
        <f>Y364*Source!I751</f>
        <v>9.2799999999999994E-2</v>
      </c>
      <c r="CY364">
        <f>AA364</f>
        <v>2562.79</v>
      </c>
      <c r="CZ364">
        <f>AE364</f>
        <v>2562.79</v>
      </c>
      <c r="DA364">
        <f>AI364</f>
        <v>1</v>
      </c>
      <c r="DB364">
        <f t="shared" si="40"/>
        <v>2972.84</v>
      </c>
      <c r="DC364">
        <f t="shared" si="41"/>
        <v>0</v>
      </c>
    </row>
    <row r="365" spans="1:107" x14ac:dyDescent="0.2">
      <c r="A365">
        <f>ROW(Source!A752)</f>
        <v>752</v>
      </c>
      <c r="B365">
        <v>38799519</v>
      </c>
      <c r="C365">
        <v>38801834</v>
      </c>
      <c r="D365">
        <v>38451941</v>
      </c>
      <c r="E365">
        <v>27</v>
      </c>
      <c r="F365">
        <v>1</v>
      </c>
      <c r="G365">
        <v>27</v>
      </c>
      <c r="H365">
        <v>1</v>
      </c>
      <c r="I365" t="s">
        <v>387</v>
      </c>
      <c r="J365" t="s">
        <v>3</v>
      </c>
      <c r="K365" t="s">
        <v>388</v>
      </c>
      <c r="L365">
        <v>1191</v>
      </c>
      <c r="N365">
        <v>1013</v>
      </c>
      <c r="O365" t="s">
        <v>389</v>
      </c>
      <c r="P365" t="s">
        <v>389</v>
      </c>
      <c r="Q365">
        <v>1</v>
      </c>
      <c r="W365">
        <v>0</v>
      </c>
      <c r="X365">
        <v>476480486</v>
      </c>
      <c r="Y365">
        <v>87.4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1</v>
      </c>
      <c r="AJ365">
        <v>1</v>
      </c>
      <c r="AK365">
        <v>1</v>
      </c>
      <c r="AL365">
        <v>1</v>
      </c>
      <c r="AN365">
        <v>0</v>
      </c>
      <c r="AO365">
        <v>1</v>
      </c>
      <c r="AP365">
        <v>0</v>
      </c>
      <c r="AQ365">
        <v>0</v>
      </c>
      <c r="AR365">
        <v>0</v>
      </c>
      <c r="AS365" t="s">
        <v>3</v>
      </c>
      <c r="AT365">
        <v>87.4</v>
      </c>
      <c r="AU365" t="s">
        <v>3</v>
      </c>
      <c r="AV365">
        <v>1</v>
      </c>
      <c r="AW365">
        <v>2</v>
      </c>
      <c r="AX365">
        <v>38801841</v>
      </c>
      <c r="AY365">
        <v>1</v>
      </c>
      <c r="AZ365">
        <v>0</v>
      </c>
      <c r="BA365">
        <v>334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CX365">
        <f>Y365*Source!I752</f>
        <v>43.7</v>
      </c>
      <c r="CY365">
        <f>AD365</f>
        <v>0</v>
      </c>
      <c r="CZ365">
        <f>AH365</f>
        <v>0</v>
      </c>
      <c r="DA365">
        <f>AL365</f>
        <v>1</v>
      </c>
      <c r="DB365">
        <f t="shared" si="40"/>
        <v>0</v>
      </c>
      <c r="DC365">
        <f t="shared" si="41"/>
        <v>0</v>
      </c>
    </row>
    <row r="366" spans="1:107" x14ac:dyDescent="0.2">
      <c r="A366">
        <f>ROW(Source!A752)</f>
        <v>752</v>
      </c>
      <c r="B366">
        <v>38799519</v>
      </c>
      <c r="C366">
        <v>38801834</v>
      </c>
      <c r="D366">
        <v>38464342</v>
      </c>
      <c r="E366">
        <v>1</v>
      </c>
      <c r="F366">
        <v>1</v>
      </c>
      <c r="G366">
        <v>27</v>
      </c>
      <c r="H366">
        <v>2</v>
      </c>
      <c r="I366" t="s">
        <v>520</v>
      </c>
      <c r="J366" t="s">
        <v>521</v>
      </c>
      <c r="K366" t="s">
        <v>522</v>
      </c>
      <c r="L366">
        <v>1368</v>
      </c>
      <c r="N366">
        <v>1011</v>
      </c>
      <c r="O366" t="s">
        <v>393</v>
      </c>
      <c r="P366" t="s">
        <v>393</v>
      </c>
      <c r="Q366">
        <v>1</v>
      </c>
      <c r="W366">
        <v>0</v>
      </c>
      <c r="X366">
        <v>-204835879</v>
      </c>
      <c r="Y366">
        <v>19</v>
      </c>
      <c r="AA366">
        <v>0</v>
      </c>
      <c r="AB366">
        <v>31</v>
      </c>
      <c r="AC366">
        <v>1.35</v>
      </c>
      <c r="AD366">
        <v>0</v>
      </c>
      <c r="AE366">
        <v>0</v>
      </c>
      <c r="AF366">
        <v>31</v>
      </c>
      <c r="AG366">
        <v>1.35</v>
      </c>
      <c r="AH366">
        <v>0</v>
      </c>
      <c r="AI366">
        <v>1</v>
      </c>
      <c r="AJ366">
        <v>1</v>
      </c>
      <c r="AK366">
        <v>1</v>
      </c>
      <c r="AL366">
        <v>1</v>
      </c>
      <c r="AN366">
        <v>0</v>
      </c>
      <c r="AO366">
        <v>1</v>
      </c>
      <c r="AP366">
        <v>0</v>
      </c>
      <c r="AQ366">
        <v>0</v>
      </c>
      <c r="AR366">
        <v>0</v>
      </c>
      <c r="AS366" t="s">
        <v>3</v>
      </c>
      <c r="AT366">
        <v>19</v>
      </c>
      <c r="AU366" t="s">
        <v>3</v>
      </c>
      <c r="AV366">
        <v>0</v>
      </c>
      <c r="AW366">
        <v>2</v>
      </c>
      <c r="AX366">
        <v>38801842</v>
      </c>
      <c r="AY366">
        <v>1</v>
      </c>
      <c r="AZ366">
        <v>0</v>
      </c>
      <c r="BA366">
        <v>335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CX366">
        <f>Y366*Source!I752</f>
        <v>9.5</v>
      </c>
      <c r="CY366">
        <f>AB366</f>
        <v>31</v>
      </c>
      <c r="CZ366">
        <f>AF366</f>
        <v>31</v>
      </c>
      <c r="DA366">
        <f>AJ366</f>
        <v>1</v>
      </c>
      <c r="DB366">
        <f t="shared" si="40"/>
        <v>589</v>
      </c>
      <c r="DC366">
        <f t="shared" si="41"/>
        <v>25.65</v>
      </c>
    </row>
    <row r="367" spans="1:107" x14ac:dyDescent="0.2">
      <c r="A367">
        <f>ROW(Source!A752)</f>
        <v>752</v>
      </c>
      <c r="B367">
        <v>38799519</v>
      </c>
      <c r="C367">
        <v>38801834</v>
      </c>
      <c r="D367">
        <v>38466161</v>
      </c>
      <c r="E367">
        <v>1</v>
      </c>
      <c r="F367">
        <v>1</v>
      </c>
      <c r="G367">
        <v>27</v>
      </c>
      <c r="H367">
        <v>3</v>
      </c>
      <c r="I367" t="s">
        <v>523</v>
      </c>
      <c r="J367" t="s">
        <v>524</v>
      </c>
      <c r="K367" t="s">
        <v>525</v>
      </c>
      <c r="L367">
        <v>1348</v>
      </c>
      <c r="N367">
        <v>1009</v>
      </c>
      <c r="O367" t="s">
        <v>155</v>
      </c>
      <c r="P367" t="s">
        <v>155</v>
      </c>
      <c r="Q367">
        <v>1000</v>
      </c>
      <c r="W367">
        <v>0</v>
      </c>
      <c r="X367">
        <v>-1356276541</v>
      </c>
      <c r="Y367">
        <v>3.3E-3</v>
      </c>
      <c r="AA367">
        <v>105084.63</v>
      </c>
      <c r="AB367">
        <v>0</v>
      </c>
      <c r="AC367">
        <v>0</v>
      </c>
      <c r="AD367">
        <v>0</v>
      </c>
      <c r="AE367">
        <v>105084.63</v>
      </c>
      <c r="AF367">
        <v>0</v>
      </c>
      <c r="AG367">
        <v>0</v>
      </c>
      <c r="AH367">
        <v>0</v>
      </c>
      <c r="AI367">
        <v>1</v>
      </c>
      <c r="AJ367">
        <v>1</v>
      </c>
      <c r="AK367">
        <v>1</v>
      </c>
      <c r="AL367">
        <v>1</v>
      </c>
      <c r="AN367">
        <v>0</v>
      </c>
      <c r="AO367">
        <v>1</v>
      </c>
      <c r="AP367">
        <v>0</v>
      </c>
      <c r="AQ367">
        <v>0</v>
      </c>
      <c r="AR367">
        <v>0</v>
      </c>
      <c r="AS367" t="s">
        <v>3</v>
      </c>
      <c r="AT367">
        <v>3.3E-3</v>
      </c>
      <c r="AU367" t="s">
        <v>3</v>
      </c>
      <c r="AV367">
        <v>0</v>
      </c>
      <c r="AW367">
        <v>2</v>
      </c>
      <c r="AX367">
        <v>38801843</v>
      </c>
      <c r="AY367">
        <v>1</v>
      </c>
      <c r="AZ367">
        <v>0</v>
      </c>
      <c r="BA367">
        <v>336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CX367">
        <f>Y367*Source!I752</f>
        <v>1.65E-3</v>
      </c>
      <c r="CY367">
        <f>AA367</f>
        <v>105084.63</v>
      </c>
      <c r="CZ367">
        <f>AE367</f>
        <v>105084.63</v>
      </c>
      <c r="DA367">
        <f>AI367</f>
        <v>1</v>
      </c>
      <c r="DB367">
        <f t="shared" si="40"/>
        <v>346.78</v>
      </c>
      <c r="DC367">
        <f t="shared" si="41"/>
        <v>0</v>
      </c>
    </row>
    <row r="368" spans="1:107" x14ac:dyDescent="0.2">
      <c r="A368">
        <f>ROW(Source!A752)</f>
        <v>752</v>
      </c>
      <c r="B368">
        <v>38799519</v>
      </c>
      <c r="C368">
        <v>38801834</v>
      </c>
      <c r="D368">
        <v>38467018</v>
      </c>
      <c r="E368">
        <v>1</v>
      </c>
      <c r="F368">
        <v>1</v>
      </c>
      <c r="G368">
        <v>27</v>
      </c>
      <c r="H368">
        <v>3</v>
      </c>
      <c r="I368" t="s">
        <v>496</v>
      </c>
      <c r="J368" t="s">
        <v>497</v>
      </c>
      <c r="K368" t="s">
        <v>498</v>
      </c>
      <c r="L368">
        <v>1348</v>
      </c>
      <c r="N368">
        <v>1009</v>
      </c>
      <c r="O368" t="s">
        <v>155</v>
      </c>
      <c r="P368" t="s">
        <v>155</v>
      </c>
      <c r="Q368">
        <v>1000</v>
      </c>
      <c r="W368">
        <v>0</v>
      </c>
      <c r="X368">
        <v>-941081254</v>
      </c>
      <c r="Y368">
        <v>1.4E-3</v>
      </c>
      <c r="AA368">
        <v>110781.14</v>
      </c>
      <c r="AB368">
        <v>0</v>
      </c>
      <c r="AC368">
        <v>0</v>
      </c>
      <c r="AD368">
        <v>0</v>
      </c>
      <c r="AE368">
        <v>110781.14</v>
      </c>
      <c r="AF368">
        <v>0</v>
      </c>
      <c r="AG368">
        <v>0</v>
      </c>
      <c r="AH368">
        <v>0</v>
      </c>
      <c r="AI368">
        <v>1</v>
      </c>
      <c r="AJ368">
        <v>1</v>
      </c>
      <c r="AK368">
        <v>1</v>
      </c>
      <c r="AL368">
        <v>1</v>
      </c>
      <c r="AN368">
        <v>0</v>
      </c>
      <c r="AO368">
        <v>1</v>
      </c>
      <c r="AP368">
        <v>0</v>
      </c>
      <c r="AQ368">
        <v>0</v>
      </c>
      <c r="AR368">
        <v>0</v>
      </c>
      <c r="AS368" t="s">
        <v>3</v>
      </c>
      <c r="AT368">
        <v>1.4E-3</v>
      </c>
      <c r="AU368" t="s">
        <v>3</v>
      </c>
      <c r="AV368">
        <v>0</v>
      </c>
      <c r="AW368">
        <v>2</v>
      </c>
      <c r="AX368">
        <v>38801844</v>
      </c>
      <c r="AY368">
        <v>1</v>
      </c>
      <c r="AZ368">
        <v>0</v>
      </c>
      <c r="BA368">
        <v>337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CX368">
        <f>Y368*Source!I752</f>
        <v>6.9999999999999999E-4</v>
      </c>
      <c r="CY368">
        <f>AA368</f>
        <v>110781.14</v>
      </c>
      <c r="CZ368">
        <f>AE368</f>
        <v>110781.14</v>
      </c>
      <c r="DA368">
        <f>AI368</f>
        <v>1</v>
      </c>
      <c r="DB368">
        <f t="shared" si="40"/>
        <v>155.09</v>
      </c>
      <c r="DC368">
        <f t="shared" si="41"/>
        <v>0</v>
      </c>
    </row>
    <row r="369" spans="1:107" x14ac:dyDescent="0.2">
      <c r="A369">
        <f>ROW(Source!A752)</f>
        <v>752</v>
      </c>
      <c r="B369">
        <v>38799519</v>
      </c>
      <c r="C369">
        <v>38801834</v>
      </c>
      <c r="D369">
        <v>38469133</v>
      </c>
      <c r="E369">
        <v>1</v>
      </c>
      <c r="F369">
        <v>1</v>
      </c>
      <c r="G369">
        <v>27</v>
      </c>
      <c r="H369">
        <v>3</v>
      </c>
      <c r="I369" t="s">
        <v>526</v>
      </c>
      <c r="J369" t="s">
        <v>527</v>
      </c>
      <c r="K369" t="s">
        <v>528</v>
      </c>
      <c r="L369">
        <v>1348</v>
      </c>
      <c r="N369">
        <v>1009</v>
      </c>
      <c r="O369" t="s">
        <v>155</v>
      </c>
      <c r="P369" t="s">
        <v>155</v>
      </c>
      <c r="Q369">
        <v>1000</v>
      </c>
      <c r="W369">
        <v>0</v>
      </c>
      <c r="X369">
        <v>485376408</v>
      </c>
      <c r="Y369">
        <v>1</v>
      </c>
      <c r="AA369">
        <v>75026.559999999998</v>
      </c>
      <c r="AB369">
        <v>0</v>
      </c>
      <c r="AC369">
        <v>0</v>
      </c>
      <c r="AD369">
        <v>0</v>
      </c>
      <c r="AE369">
        <v>75026.559999999998</v>
      </c>
      <c r="AF369">
        <v>0</v>
      </c>
      <c r="AG369">
        <v>0</v>
      </c>
      <c r="AH369">
        <v>0</v>
      </c>
      <c r="AI369">
        <v>1</v>
      </c>
      <c r="AJ369">
        <v>1</v>
      </c>
      <c r="AK369">
        <v>1</v>
      </c>
      <c r="AL369">
        <v>1</v>
      </c>
      <c r="AN369">
        <v>0</v>
      </c>
      <c r="AO369">
        <v>1</v>
      </c>
      <c r="AP369">
        <v>0</v>
      </c>
      <c r="AQ369">
        <v>0</v>
      </c>
      <c r="AR369">
        <v>0</v>
      </c>
      <c r="AS369" t="s">
        <v>3</v>
      </c>
      <c r="AT369">
        <v>1</v>
      </c>
      <c r="AU369" t="s">
        <v>3</v>
      </c>
      <c r="AV369">
        <v>0</v>
      </c>
      <c r="AW369">
        <v>2</v>
      </c>
      <c r="AX369">
        <v>38801845</v>
      </c>
      <c r="AY369">
        <v>1</v>
      </c>
      <c r="AZ369">
        <v>0</v>
      </c>
      <c r="BA369">
        <v>338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CX369">
        <f>Y369*Source!I752</f>
        <v>0.5</v>
      </c>
      <c r="CY369">
        <f>AA369</f>
        <v>75026.559999999998</v>
      </c>
      <c r="CZ369">
        <f>AE369</f>
        <v>75026.559999999998</v>
      </c>
      <c r="DA369">
        <f>AI369</f>
        <v>1</v>
      </c>
      <c r="DB369">
        <f t="shared" si="40"/>
        <v>75026.559999999998</v>
      </c>
      <c r="DC369">
        <f t="shared" si="41"/>
        <v>0</v>
      </c>
    </row>
    <row r="370" spans="1:107" x14ac:dyDescent="0.2">
      <c r="A370">
        <f>ROW(Source!A752)</f>
        <v>752</v>
      </c>
      <c r="B370">
        <v>38799519</v>
      </c>
      <c r="C370">
        <v>38801834</v>
      </c>
      <c r="D370">
        <v>0</v>
      </c>
      <c r="E370">
        <v>27</v>
      </c>
      <c r="F370">
        <v>1</v>
      </c>
      <c r="G370">
        <v>27</v>
      </c>
      <c r="H370">
        <v>3</v>
      </c>
      <c r="I370" t="s">
        <v>196</v>
      </c>
      <c r="J370" t="s">
        <v>3</v>
      </c>
      <c r="K370" t="s">
        <v>349</v>
      </c>
      <c r="L370">
        <v>1354</v>
      </c>
      <c r="N370">
        <v>1010</v>
      </c>
      <c r="O370" t="s">
        <v>198</v>
      </c>
      <c r="P370" t="s">
        <v>198</v>
      </c>
      <c r="Q370">
        <v>1</v>
      </c>
      <c r="W370">
        <v>0</v>
      </c>
      <c r="X370">
        <v>1653822074</v>
      </c>
      <c r="Y370">
        <v>0.89841599999999999</v>
      </c>
      <c r="AA370">
        <v>42340.83</v>
      </c>
      <c r="AB370">
        <v>0</v>
      </c>
      <c r="AC370">
        <v>0</v>
      </c>
      <c r="AD370">
        <v>0</v>
      </c>
      <c r="AE370">
        <v>42340.83</v>
      </c>
      <c r="AF370">
        <v>0</v>
      </c>
      <c r="AG370">
        <v>0</v>
      </c>
      <c r="AH370">
        <v>0</v>
      </c>
      <c r="AI370">
        <v>1</v>
      </c>
      <c r="AJ370">
        <v>1</v>
      </c>
      <c r="AK370">
        <v>1</v>
      </c>
      <c r="AL370">
        <v>1</v>
      </c>
      <c r="AN370">
        <v>0</v>
      </c>
      <c r="AO370">
        <v>0</v>
      </c>
      <c r="AP370">
        <v>0</v>
      </c>
      <c r="AQ370">
        <v>0</v>
      </c>
      <c r="AR370">
        <v>0</v>
      </c>
      <c r="AS370" t="s">
        <v>3</v>
      </c>
      <c r="AT370">
        <v>0.89841599999999999</v>
      </c>
      <c r="AU370" t="s">
        <v>3</v>
      </c>
      <c r="AV370">
        <v>0</v>
      </c>
      <c r="AW370">
        <v>1</v>
      </c>
      <c r="AX370">
        <v>-1</v>
      </c>
      <c r="AY370">
        <v>0</v>
      </c>
      <c r="AZ370">
        <v>0</v>
      </c>
      <c r="BA370" t="s">
        <v>3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CX370">
        <f>Y370*Source!I752</f>
        <v>0.449208</v>
      </c>
      <c r="CY370">
        <f>AA370</f>
        <v>42340.83</v>
      </c>
      <c r="CZ370">
        <f>AE370</f>
        <v>42340.83</v>
      </c>
      <c r="DA370">
        <f>AI370</f>
        <v>1</v>
      </c>
      <c r="DB370">
        <f t="shared" si="40"/>
        <v>38039.68</v>
      </c>
      <c r="DC370">
        <f t="shared" si="41"/>
        <v>0</v>
      </c>
    </row>
    <row r="371" spans="1:107" x14ac:dyDescent="0.2">
      <c r="A371">
        <f>ROW(Source!A823)</f>
        <v>823</v>
      </c>
      <c r="B371">
        <v>38799519</v>
      </c>
      <c r="C371">
        <v>38802344</v>
      </c>
      <c r="D371">
        <v>38451941</v>
      </c>
      <c r="E371">
        <v>27</v>
      </c>
      <c r="F371">
        <v>1</v>
      </c>
      <c r="G371">
        <v>27</v>
      </c>
      <c r="H371">
        <v>1</v>
      </c>
      <c r="I371" t="s">
        <v>387</v>
      </c>
      <c r="J371" t="s">
        <v>3</v>
      </c>
      <c r="K371" t="s">
        <v>388</v>
      </c>
      <c r="L371">
        <v>1191</v>
      </c>
      <c r="N371">
        <v>1013</v>
      </c>
      <c r="O371" t="s">
        <v>389</v>
      </c>
      <c r="P371" t="s">
        <v>389</v>
      </c>
      <c r="Q371">
        <v>1</v>
      </c>
      <c r="W371">
        <v>0</v>
      </c>
      <c r="X371">
        <v>476480486</v>
      </c>
      <c r="Y371">
        <v>3.3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1</v>
      </c>
      <c r="AJ371">
        <v>1</v>
      </c>
      <c r="AK371">
        <v>1</v>
      </c>
      <c r="AL371">
        <v>1</v>
      </c>
      <c r="AN371">
        <v>0</v>
      </c>
      <c r="AO371">
        <v>1</v>
      </c>
      <c r="AP371">
        <v>0</v>
      </c>
      <c r="AQ371">
        <v>0</v>
      </c>
      <c r="AR371">
        <v>0</v>
      </c>
      <c r="AS371" t="s">
        <v>3</v>
      </c>
      <c r="AT371">
        <v>3.3</v>
      </c>
      <c r="AU371" t="s">
        <v>3</v>
      </c>
      <c r="AV371">
        <v>1</v>
      </c>
      <c r="AW371">
        <v>2</v>
      </c>
      <c r="AX371">
        <v>38802345</v>
      </c>
      <c r="AY371">
        <v>1</v>
      </c>
      <c r="AZ371">
        <v>0</v>
      </c>
      <c r="BA371">
        <v>339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CX371">
        <f>Y371*Source!I823</f>
        <v>11.484</v>
      </c>
      <c r="CY371">
        <f>AD371</f>
        <v>0</v>
      </c>
      <c r="CZ371">
        <f>AH371</f>
        <v>0</v>
      </c>
      <c r="DA371">
        <f>AL371</f>
        <v>1</v>
      </c>
      <c r="DB371">
        <f t="shared" si="40"/>
        <v>0</v>
      </c>
      <c r="DC371">
        <f t="shared" si="41"/>
        <v>0</v>
      </c>
    </row>
    <row r="372" spans="1:107" x14ac:dyDescent="0.2">
      <c r="A372">
        <f>ROW(Source!A824)</f>
        <v>824</v>
      </c>
      <c r="B372">
        <v>38799519</v>
      </c>
      <c r="C372">
        <v>38802346</v>
      </c>
      <c r="D372">
        <v>38451941</v>
      </c>
      <c r="E372">
        <v>27</v>
      </c>
      <c r="F372">
        <v>1</v>
      </c>
      <c r="G372">
        <v>27</v>
      </c>
      <c r="H372">
        <v>1</v>
      </c>
      <c r="I372" t="s">
        <v>387</v>
      </c>
      <c r="J372" t="s">
        <v>3</v>
      </c>
      <c r="K372" t="s">
        <v>388</v>
      </c>
      <c r="L372">
        <v>1191</v>
      </c>
      <c r="N372">
        <v>1013</v>
      </c>
      <c r="O372" t="s">
        <v>389</v>
      </c>
      <c r="P372" t="s">
        <v>389</v>
      </c>
      <c r="Q372">
        <v>1</v>
      </c>
      <c r="W372">
        <v>0</v>
      </c>
      <c r="X372">
        <v>476480486</v>
      </c>
      <c r="Y372">
        <v>18.440000000000001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1</v>
      </c>
      <c r="AJ372">
        <v>1</v>
      </c>
      <c r="AK372">
        <v>1</v>
      </c>
      <c r="AL372">
        <v>1</v>
      </c>
      <c r="AN372">
        <v>0</v>
      </c>
      <c r="AO372">
        <v>1</v>
      </c>
      <c r="AP372">
        <v>0</v>
      </c>
      <c r="AQ372">
        <v>0</v>
      </c>
      <c r="AR372">
        <v>0</v>
      </c>
      <c r="AS372" t="s">
        <v>3</v>
      </c>
      <c r="AT372">
        <v>18.440000000000001</v>
      </c>
      <c r="AU372" t="s">
        <v>3</v>
      </c>
      <c r="AV372">
        <v>1</v>
      </c>
      <c r="AW372">
        <v>2</v>
      </c>
      <c r="AX372">
        <v>38802347</v>
      </c>
      <c r="AY372">
        <v>1</v>
      </c>
      <c r="AZ372">
        <v>0</v>
      </c>
      <c r="BA372">
        <v>340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CX372">
        <f>Y372*Source!I824</f>
        <v>64.171199999999999</v>
      </c>
      <c r="CY372">
        <f>AD372</f>
        <v>0</v>
      </c>
      <c r="CZ372">
        <f>AH372</f>
        <v>0</v>
      </c>
      <c r="DA372">
        <f>AL372</f>
        <v>1</v>
      </c>
      <c r="DB372">
        <f t="shared" si="40"/>
        <v>0</v>
      </c>
      <c r="DC372">
        <f t="shared" si="41"/>
        <v>0</v>
      </c>
    </row>
    <row r="373" spans="1:107" x14ac:dyDescent="0.2">
      <c r="A373">
        <f>ROW(Source!A824)</f>
        <v>824</v>
      </c>
      <c r="B373">
        <v>38799519</v>
      </c>
      <c r="C373">
        <v>38802346</v>
      </c>
      <c r="D373">
        <v>38464899</v>
      </c>
      <c r="E373">
        <v>1</v>
      </c>
      <c r="F373">
        <v>1</v>
      </c>
      <c r="G373">
        <v>27</v>
      </c>
      <c r="H373">
        <v>2</v>
      </c>
      <c r="I373" t="s">
        <v>453</v>
      </c>
      <c r="J373" t="s">
        <v>454</v>
      </c>
      <c r="K373" t="s">
        <v>455</v>
      </c>
      <c r="L373">
        <v>1368</v>
      </c>
      <c r="N373">
        <v>1011</v>
      </c>
      <c r="O373" t="s">
        <v>393</v>
      </c>
      <c r="P373" t="s">
        <v>393</v>
      </c>
      <c r="Q373">
        <v>1</v>
      </c>
      <c r="W373">
        <v>0</v>
      </c>
      <c r="X373">
        <v>2028281919</v>
      </c>
      <c r="Y373">
        <v>2.64</v>
      </c>
      <c r="AA373">
        <v>0</v>
      </c>
      <c r="AB373">
        <v>531.41</v>
      </c>
      <c r="AC373">
        <v>373.56</v>
      </c>
      <c r="AD373">
        <v>0</v>
      </c>
      <c r="AE373">
        <v>0</v>
      </c>
      <c r="AF373">
        <v>531.41</v>
      </c>
      <c r="AG373">
        <v>373.56</v>
      </c>
      <c r="AH373">
        <v>0</v>
      </c>
      <c r="AI373">
        <v>1</v>
      </c>
      <c r="AJ373">
        <v>1</v>
      </c>
      <c r="AK373">
        <v>1</v>
      </c>
      <c r="AL373">
        <v>1</v>
      </c>
      <c r="AN373">
        <v>0</v>
      </c>
      <c r="AO373">
        <v>1</v>
      </c>
      <c r="AP373">
        <v>0</v>
      </c>
      <c r="AQ373">
        <v>0</v>
      </c>
      <c r="AR373">
        <v>0</v>
      </c>
      <c r="AS373" t="s">
        <v>3</v>
      </c>
      <c r="AT373">
        <v>2.64</v>
      </c>
      <c r="AU373" t="s">
        <v>3</v>
      </c>
      <c r="AV373">
        <v>0</v>
      </c>
      <c r="AW373">
        <v>2</v>
      </c>
      <c r="AX373">
        <v>38802348</v>
      </c>
      <c r="AY373">
        <v>1</v>
      </c>
      <c r="AZ373">
        <v>0</v>
      </c>
      <c r="BA373">
        <v>341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CX373">
        <f>Y373*Source!I824</f>
        <v>9.1872000000000007</v>
      </c>
      <c r="CY373">
        <f>AB373</f>
        <v>531.41</v>
      </c>
      <c r="CZ373">
        <f>AF373</f>
        <v>531.41</v>
      </c>
      <c r="DA373">
        <f>AJ373</f>
        <v>1</v>
      </c>
      <c r="DB373">
        <f t="shared" si="40"/>
        <v>1402.92</v>
      </c>
      <c r="DC373">
        <f t="shared" si="41"/>
        <v>986.2</v>
      </c>
    </row>
    <row r="374" spans="1:107" x14ac:dyDescent="0.2">
      <c r="A374">
        <f>ROW(Source!A824)</f>
        <v>824</v>
      </c>
      <c r="B374">
        <v>38799519</v>
      </c>
      <c r="C374">
        <v>38802346</v>
      </c>
      <c r="D374">
        <v>38465122</v>
      </c>
      <c r="E374">
        <v>1</v>
      </c>
      <c r="F374">
        <v>1</v>
      </c>
      <c r="G374">
        <v>27</v>
      </c>
      <c r="H374">
        <v>2</v>
      </c>
      <c r="I374" t="s">
        <v>456</v>
      </c>
      <c r="J374" t="s">
        <v>457</v>
      </c>
      <c r="K374" t="s">
        <v>458</v>
      </c>
      <c r="L374">
        <v>1368</v>
      </c>
      <c r="N374">
        <v>1011</v>
      </c>
      <c r="O374" t="s">
        <v>393</v>
      </c>
      <c r="P374" t="s">
        <v>393</v>
      </c>
      <c r="Q374">
        <v>1</v>
      </c>
      <c r="W374">
        <v>0</v>
      </c>
      <c r="X374">
        <v>-1222982568</v>
      </c>
      <c r="Y374">
        <v>1.18</v>
      </c>
      <c r="AA374">
        <v>0</v>
      </c>
      <c r="AB374">
        <v>7.44</v>
      </c>
      <c r="AC374">
        <v>0.98</v>
      </c>
      <c r="AD374">
        <v>0</v>
      </c>
      <c r="AE374">
        <v>0</v>
      </c>
      <c r="AF374">
        <v>7.44</v>
      </c>
      <c r="AG374">
        <v>0.98</v>
      </c>
      <c r="AH374">
        <v>0</v>
      </c>
      <c r="AI374">
        <v>1</v>
      </c>
      <c r="AJ374">
        <v>1</v>
      </c>
      <c r="AK374">
        <v>1</v>
      </c>
      <c r="AL374">
        <v>1</v>
      </c>
      <c r="AN374">
        <v>0</v>
      </c>
      <c r="AO374">
        <v>1</v>
      </c>
      <c r="AP374">
        <v>0</v>
      </c>
      <c r="AQ374">
        <v>0</v>
      </c>
      <c r="AR374">
        <v>0</v>
      </c>
      <c r="AS374" t="s">
        <v>3</v>
      </c>
      <c r="AT374">
        <v>1.18</v>
      </c>
      <c r="AU374" t="s">
        <v>3</v>
      </c>
      <c r="AV374">
        <v>0</v>
      </c>
      <c r="AW374">
        <v>2</v>
      </c>
      <c r="AX374">
        <v>38802349</v>
      </c>
      <c r="AY374">
        <v>1</v>
      </c>
      <c r="AZ374">
        <v>0</v>
      </c>
      <c r="BA374">
        <v>342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CX374">
        <f>Y374*Source!I824</f>
        <v>4.1063999999999998</v>
      </c>
      <c r="CY374">
        <f>AB374</f>
        <v>7.44</v>
      </c>
      <c r="CZ374">
        <f>AF374</f>
        <v>7.44</v>
      </c>
      <c r="DA374">
        <f>AJ374</f>
        <v>1</v>
      </c>
      <c r="DB374">
        <f t="shared" si="40"/>
        <v>8.7799999999999994</v>
      </c>
      <c r="DC374">
        <f t="shared" si="41"/>
        <v>1.1599999999999999</v>
      </c>
    </row>
    <row r="375" spans="1:107" x14ac:dyDescent="0.2">
      <c r="A375">
        <f>ROW(Source!A824)</f>
        <v>824</v>
      </c>
      <c r="B375">
        <v>38799519</v>
      </c>
      <c r="C375">
        <v>38802346</v>
      </c>
      <c r="D375">
        <v>38464324</v>
      </c>
      <c r="E375">
        <v>1</v>
      </c>
      <c r="F375">
        <v>1</v>
      </c>
      <c r="G375">
        <v>27</v>
      </c>
      <c r="H375">
        <v>2</v>
      </c>
      <c r="I375" t="s">
        <v>459</v>
      </c>
      <c r="J375" t="s">
        <v>460</v>
      </c>
      <c r="K375" t="s">
        <v>461</v>
      </c>
      <c r="L375">
        <v>1368</v>
      </c>
      <c r="N375">
        <v>1011</v>
      </c>
      <c r="O375" t="s">
        <v>393</v>
      </c>
      <c r="P375" t="s">
        <v>393</v>
      </c>
      <c r="Q375">
        <v>1</v>
      </c>
      <c r="W375">
        <v>0</v>
      </c>
      <c r="X375">
        <v>-929482187</v>
      </c>
      <c r="Y375">
        <v>0.01</v>
      </c>
      <c r="AA375">
        <v>0</v>
      </c>
      <c r="AB375">
        <v>616.73</v>
      </c>
      <c r="AC375">
        <v>511.29</v>
      </c>
      <c r="AD375">
        <v>0</v>
      </c>
      <c r="AE375">
        <v>0</v>
      </c>
      <c r="AF375">
        <v>616.73</v>
      </c>
      <c r="AG375">
        <v>511.29</v>
      </c>
      <c r="AH375">
        <v>0</v>
      </c>
      <c r="AI375">
        <v>1</v>
      </c>
      <c r="AJ375">
        <v>1</v>
      </c>
      <c r="AK375">
        <v>1</v>
      </c>
      <c r="AL375">
        <v>1</v>
      </c>
      <c r="AN375">
        <v>0</v>
      </c>
      <c r="AO375">
        <v>1</v>
      </c>
      <c r="AP375">
        <v>0</v>
      </c>
      <c r="AQ375">
        <v>0</v>
      </c>
      <c r="AR375">
        <v>0</v>
      </c>
      <c r="AS375" t="s">
        <v>3</v>
      </c>
      <c r="AT375">
        <v>0.01</v>
      </c>
      <c r="AU375" t="s">
        <v>3</v>
      </c>
      <c r="AV375">
        <v>0</v>
      </c>
      <c r="AW375">
        <v>2</v>
      </c>
      <c r="AX375">
        <v>38802350</v>
      </c>
      <c r="AY375">
        <v>1</v>
      </c>
      <c r="AZ375">
        <v>0</v>
      </c>
      <c r="BA375">
        <v>343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CX375">
        <f>Y375*Source!I824</f>
        <v>3.4799999999999998E-2</v>
      </c>
      <c r="CY375">
        <f>AB375</f>
        <v>616.73</v>
      </c>
      <c r="CZ375">
        <f>AF375</f>
        <v>616.73</v>
      </c>
      <c r="DA375">
        <f>AJ375</f>
        <v>1</v>
      </c>
      <c r="DB375">
        <f t="shared" si="40"/>
        <v>6.17</v>
      </c>
      <c r="DC375">
        <f t="shared" si="41"/>
        <v>5.1100000000000003</v>
      </c>
    </row>
    <row r="376" spans="1:107" x14ac:dyDescent="0.2">
      <c r="A376">
        <f>ROW(Source!A824)</f>
        <v>824</v>
      </c>
      <c r="B376">
        <v>38799519</v>
      </c>
      <c r="C376">
        <v>38802346</v>
      </c>
      <c r="D376">
        <v>38464508</v>
      </c>
      <c r="E376">
        <v>1</v>
      </c>
      <c r="F376">
        <v>1</v>
      </c>
      <c r="G376">
        <v>27</v>
      </c>
      <c r="H376">
        <v>2</v>
      </c>
      <c r="I376" t="s">
        <v>462</v>
      </c>
      <c r="J376" t="s">
        <v>463</v>
      </c>
      <c r="K376" t="s">
        <v>464</v>
      </c>
      <c r="L376">
        <v>1368</v>
      </c>
      <c r="N376">
        <v>1011</v>
      </c>
      <c r="O376" t="s">
        <v>393</v>
      </c>
      <c r="P376" t="s">
        <v>393</v>
      </c>
      <c r="Q376">
        <v>1</v>
      </c>
      <c r="W376">
        <v>0</v>
      </c>
      <c r="X376">
        <v>1948933241</v>
      </c>
      <c r="Y376">
        <v>2.64</v>
      </c>
      <c r="AA376">
        <v>0</v>
      </c>
      <c r="AB376">
        <v>454.31</v>
      </c>
      <c r="AC376">
        <v>405.68</v>
      </c>
      <c r="AD376">
        <v>0</v>
      </c>
      <c r="AE376">
        <v>0</v>
      </c>
      <c r="AF376">
        <v>454.31</v>
      </c>
      <c r="AG376">
        <v>405.68</v>
      </c>
      <c r="AH376">
        <v>0</v>
      </c>
      <c r="AI376">
        <v>1</v>
      </c>
      <c r="AJ376">
        <v>1</v>
      </c>
      <c r="AK376">
        <v>1</v>
      </c>
      <c r="AL376">
        <v>1</v>
      </c>
      <c r="AN376">
        <v>0</v>
      </c>
      <c r="AO376">
        <v>1</v>
      </c>
      <c r="AP376">
        <v>0</v>
      </c>
      <c r="AQ376">
        <v>0</v>
      </c>
      <c r="AR376">
        <v>0</v>
      </c>
      <c r="AS376" t="s">
        <v>3</v>
      </c>
      <c r="AT376">
        <v>2.64</v>
      </c>
      <c r="AU376" t="s">
        <v>3</v>
      </c>
      <c r="AV376">
        <v>0</v>
      </c>
      <c r="AW376">
        <v>2</v>
      </c>
      <c r="AX376">
        <v>38802351</v>
      </c>
      <c r="AY376">
        <v>1</v>
      </c>
      <c r="AZ376">
        <v>0</v>
      </c>
      <c r="BA376">
        <v>344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CX376">
        <f>Y376*Source!I824</f>
        <v>9.1872000000000007</v>
      </c>
      <c r="CY376">
        <f>AB376</f>
        <v>454.31</v>
      </c>
      <c r="CZ376">
        <f>AF376</f>
        <v>454.31</v>
      </c>
      <c r="DA376">
        <f>AJ376</f>
        <v>1</v>
      </c>
      <c r="DB376">
        <f t="shared" si="40"/>
        <v>1199.3800000000001</v>
      </c>
      <c r="DC376">
        <f t="shared" si="41"/>
        <v>1071</v>
      </c>
    </row>
    <row r="377" spans="1:107" x14ac:dyDescent="0.2">
      <c r="A377">
        <f>ROW(Source!A824)</f>
        <v>824</v>
      </c>
      <c r="B377">
        <v>38799519</v>
      </c>
      <c r="C377">
        <v>38802346</v>
      </c>
      <c r="D377">
        <v>38467332</v>
      </c>
      <c r="E377">
        <v>1</v>
      </c>
      <c r="F377">
        <v>1</v>
      </c>
      <c r="G377">
        <v>27</v>
      </c>
      <c r="H377">
        <v>3</v>
      </c>
      <c r="I377" t="s">
        <v>465</v>
      </c>
      <c r="J377" t="s">
        <v>466</v>
      </c>
      <c r="K377" t="s">
        <v>467</v>
      </c>
      <c r="L377">
        <v>1327</v>
      </c>
      <c r="N377">
        <v>1005</v>
      </c>
      <c r="O377" t="s">
        <v>289</v>
      </c>
      <c r="P377" t="s">
        <v>289</v>
      </c>
      <c r="Q377">
        <v>1</v>
      </c>
      <c r="W377">
        <v>0</v>
      </c>
      <c r="X377">
        <v>-656702110</v>
      </c>
      <c r="Y377">
        <v>5.6</v>
      </c>
      <c r="AA377">
        <v>12.02</v>
      </c>
      <c r="AB377">
        <v>0</v>
      </c>
      <c r="AC377">
        <v>0</v>
      </c>
      <c r="AD377">
        <v>0</v>
      </c>
      <c r="AE377">
        <v>12.02</v>
      </c>
      <c r="AF377">
        <v>0</v>
      </c>
      <c r="AG377">
        <v>0</v>
      </c>
      <c r="AH377">
        <v>0</v>
      </c>
      <c r="AI377">
        <v>1</v>
      </c>
      <c r="AJ377">
        <v>1</v>
      </c>
      <c r="AK377">
        <v>1</v>
      </c>
      <c r="AL377">
        <v>1</v>
      </c>
      <c r="AN377">
        <v>0</v>
      </c>
      <c r="AO377">
        <v>1</v>
      </c>
      <c r="AP377">
        <v>0</v>
      </c>
      <c r="AQ377">
        <v>0</v>
      </c>
      <c r="AR377">
        <v>0</v>
      </c>
      <c r="AS377" t="s">
        <v>3</v>
      </c>
      <c r="AT377">
        <v>5.6</v>
      </c>
      <c r="AU377" t="s">
        <v>3</v>
      </c>
      <c r="AV377">
        <v>0</v>
      </c>
      <c r="AW377">
        <v>2</v>
      </c>
      <c r="AX377">
        <v>38802352</v>
      </c>
      <c r="AY377">
        <v>1</v>
      </c>
      <c r="AZ377">
        <v>0</v>
      </c>
      <c r="BA377">
        <v>345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CX377">
        <f>Y377*Source!I824</f>
        <v>19.488</v>
      </c>
      <c r="CY377">
        <f>AA377</f>
        <v>12.02</v>
      </c>
      <c r="CZ377">
        <f>AE377</f>
        <v>12.02</v>
      </c>
      <c r="DA377">
        <f>AI377</f>
        <v>1</v>
      </c>
      <c r="DB377">
        <f t="shared" si="40"/>
        <v>67.31</v>
      </c>
      <c r="DC377">
        <f t="shared" si="41"/>
        <v>0</v>
      </c>
    </row>
    <row r="378" spans="1:107" x14ac:dyDescent="0.2">
      <c r="A378">
        <f>ROW(Source!A824)</f>
        <v>824</v>
      </c>
      <c r="B378">
        <v>38799519</v>
      </c>
      <c r="C378">
        <v>38802346</v>
      </c>
      <c r="D378">
        <v>38467419</v>
      </c>
      <c r="E378">
        <v>1</v>
      </c>
      <c r="F378">
        <v>1</v>
      </c>
      <c r="G378">
        <v>27</v>
      </c>
      <c r="H378">
        <v>3</v>
      </c>
      <c r="I378" t="s">
        <v>468</v>
      </c>
      <c r="J378" t="s">
        <v>469</v>
      </c>
      <c r="K378" t="s">
        <v>470</v>
      </c>
      <c r="L378">
        <v>1348</v>
      </c>
      <c r="N378">
        <v>1009</v>
      </c>
      <c r="O378" t="s">
        <v>155</v>
      </c>
      <c r="P378" t="s">
        <v>155</v>
      </c>
      <c r="Q378">
        <v>1000</v>
      </c>
      <c r="W378">
        <v>0</v>
      </c>
      <c r="X378">
        <v>2135985724</v>
      </c>
      <c r="Y378">
        <v>3.15E-3</v>
      </c>
      <c r="AA378">
        <v>343020.03</v>
      </c>
      <c r="AB378">
        <v>0</v>
      </c>
      <c r="AC378">
        <v>0</v>
      </c>
      <c r="AD378">
        <v>0</v>
      </c>
      <c r="AE378">
        <v>343020.03</v>
      </c>
      <c r="AF378">
        <v>0</v>
      </c>
      <c r="AG378">
        <v>0</v>
      </c>
      <c r="AH378">
        <v>0</v>
      </c>
      <c r="AI378">
        <v>1</v>
      </c>
      <c r="AJ378">
        <v>1</v>
      </c>
      <c r="AK378">
        <v>1</v>
      </c>
      <c r="AL378">
        <v>1</v>
      </c>
      <c r="AN378">
        <v>0</v>
      </c>
      <c r="AO378">
        <v>1</v>
      </c>
      <c r="AP378">
        <v>0</v>
      </c>
      <c r="AQ378">
        <v>0</v>
      </c>
      <c r="AR378">
        <v>0</v>
      </c>
      <c r="AS378" t="s">
        <v>3</v>
      </c>
      <c r="AT378">
        <v>3.15E-3</v>
      </c>
      <c r="AU378" t="s">
        <v>3</v>
      </c>
      <c r="AV378">
        <v>0</v>
      </c>
      <c r="AW378">
        <v>2</v>
      </c>
      <c r="AX378">
        <v>38802353</v>
      </c>
      <c r="AY378">
        <v>1</v>
      </c>
      <c r="AZ378">
        <v>0</v>
      </c>
      <c r="BA378">
        <v>346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CX378">
        <f>Y378*Source!I824</f>
        <v>1.0962E-2</v>
      </c>
      <c r="CY378">
        <f>AA378</f>
        <v>343020.03</v>
      </c>
      <c r="CZ378">
        <f>AE378</f>
        <v>343020.03</v>
      </c>
      <c r="DA378">
        <f>AI378</f>
        <v>1</v>
      </c>
      <c r="DB378">
        <f t="shared" si="40"/>
        <v>1080.51</v>
      </c>
      <c r="DC378">
        <f t="shared" si="41"/>
        <v>0</v>
      </c>
    </row>
    <row r="379" spans="1:107" x14ac:dyDescent="0.2">
      <c r="A379">
        <f>ROW(Source!A824)</f>
        <v>824</v>
      </c>
      <c r="B379">
        <v>38799519</v>
      </c>
      <c r="C379">
        <v>38802346</v>
      </c>
      <c r="D379">
        <v>38467636</v>
      </c>
      <c r="E379">
        <v>1</v>
      </c>
      <c r="F379">
        <v>1</v>
      </c>
      <c r="G379">
        <v>27</v>
      </c>
      <c r="H379">
        <v>3</v>
      </c>
      <c r="I379" t="s">
        <v>471</v>
      </c>
      <c r="J379" t="s">
        <v>472</v>
      </c>
      <c r="K379" t="s">
        <v>473</v>
      </c>
      <c r="L379">
        <v>1346</v>
      </c>
      <c r="N379">
        <v>1009</v>
      </c>
      <c r="O379" t="s">
        <v>474</v>
      </c>
      <c r="P379" t="s">
        <v>474</v>
      </c>
      <c r="Q379">
        <v>1</v>
      </c>
      <c r="W379">
        <v>0</v>
      </c>
      <c r="X379">
        <v>-78256104</v>
      </c>
      <c r="Y379">
        <v>735</v>
      </c>
      <c r="AA379">
        <v>17.77</v>
      </c>
      <c r="AB379">
        <v>0</v>
      </c>
      <c r="AC379">
        <v>0</v>
      </c>
      <c r="AD379">
        <v>0</v>
      </c>
      <c r="AE379">
        <v>17.77</v>
      </c>
      <c r="AF379">
        <v>0</v>
      </c>
      <c r="AG379">
        <v>0</v>
      </c>
      <c r="AH379">
        <v>0</v>
      </c>
      <c r="AI379">
        <v>1</v>
      </c>
      <c r="AJ379">
        <v>1</v>
      </c>
      <c r="AK379">
        <v>1</v>
      </c>
      <c r="AL379">
        <v>1</v>
      </c>
      <c r="AN379">
        <v>0</v>
      </c>
      <c r="AO379">
        <v>1</v>
      </c>
      <c r="AP379">
        <v>0</v>
      </c>
      <c r="AQ379">
        <v>0</v>
      </c>
      <c r="AR379">
        <v>0</v>
      </c>
      <c r="AS379" t="s">
        <v>3</v>
      </c>
      <c r="AT379">
        <v>735</v>
      </c>
      <c r="AU379" t="s">
        <v>3</v>
      </c>
      <c r="AV379">
        <v>0</v>
      </c>
      <c r="AW379">
        <v>2</v>
      </c>
      <c r="AX379">
        <v>38802354</v>
      </c>
      <c r="AY379">
        <v>1</v>
      </c>
      <c r="AZ379">
        <v>0</v>
      </c>
      <c r="BA379">
        <v>347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CX379">
        <f>Y379*Source!I824</f>
        <v>2557.8000000000002</v>
      </c>
      <c r="CY379">
        <f>AA379</f>
        <v>17.77</v>
      </c>
      <c r="CZ379">
        <f>AE379</f>
        <v>17.77</v>
      </c>
      <c r="DA379">
        <f>AI379</f>
        <v>1</v>
      </c>
      <c r="DB379">
        <f t="shared" si="40"/>
        <v>13060.95</v>
      </c>
      <c r="DC379">
        <f t="shared" si="41"/>
        <v>0</v>
      </c>
    </row>
    <row r="380" spans="1:107" x14ac:dyDescent="0.2">
      <c r="A380">
        <f>ROW(Source!A824)</f>
        <v>824</v>
      </c>
      <c r="B380">
        <v>38799519</v>
      </c>
      <c r="C380">
        <v>38802346</v>
      </c>
      <c r="D380">
        <v>38467643</v>
      </c>
      <c r="E380">
        <v>1</v>
      </c>
      <c r="F380">
        <v>1</v>
      </c>
      <c r="G380">
        <v>27</v>
      </c>
      <c r="H380">
        <v>3</v>
      </c>
      <c r="I380" t="s">
        <v>475</v>
      </c>
      <c r="J380" t="s">
        <v>476</v>
      </c>
      <c r="K380" t="s">
        <v>477</v>
      </c>
      <c r="L380">
        <v>1346</v>
      </c>
      <c r="N380">
        <v>1009</v>
      </c>
      <c r="O380" t="s">
        <v>474</v>
      </c>
      <c r="P380" t="s">
        <v>474</v>
      </c>
      <c r="Q380">
        <v>1</v>
      </c>
      <c r="W380">
        <v>0</v>
      </c>
      <c r="X380">
        <v>1434584530</v>
      </c>
      <c r="Y380">
        <v>241.5</v>
      </c>
      <c r="AA380">
        <v>202.34</v>
      </c>
      <c r="AB380">
        <v>0</v>
      </c>
      <c r="AC380">
        <v>0</v>
      </c>
      <c r="AD380">
        <v>0</v>
      </c>
      <c r="AE380">
        <v>202.34</v>
      </c>
      <c r="AF380">
        <v>0</v>
      </c>
      <c r="AG380">
        <v>0</v>
      </c>
      <c r="AH380">
        <v>0</v>
      </c>
      <c r="AI380">
        <v>1</v>
      </c>
      <c r="AJ380">
        <v>1</v>
      </c>
      <c r="AK380">
        <v>1</v>
      </c>
      <c r="AL380">
        <v>1</v>
      </c>
      <c r="AN380">
        <v>0</v>
      </c>
      <c r="AO380">
        <v>1</v>
      </c>
      <c r="AP380">
        <v>0</v>
      </c>
      <c r="AQ380">
        <v>0</v>
      </c>
      <c r="AR380">
        <v>0</v>
      </c>
      <c r="AS380" t="s">
        <v>3</v>
      </c>
      <c r="AT380">
        <v>241.5</v>
      </c>
      <c r="AU380" t="s">
        <v>3</v>
      </c>
      <c r="AV380">
        <v>0</v>
      </c>
      <c r="AW380">
        <v>2</v>
      </c>
      <c r="AX380">
        <v>38802355</v>
      </c>
      <c r="AY380">
        <v>1</v>
      </c>
      <c r="AZ380">
        <v>0</v>
      </c>
      <c r="BA380">
        <v>348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CX380">
        <f>Y380*Source!I824</f>
        <v>840.42</v>
      </c>
      <c r="CY380">
        <f>AA380</f>
        <v>202.34</v>
      </c>
      <c r="CZ380">
        <f>AE380</f>
        <v>202.34</v>
      </c>
      <c r="DA380">
        <f>AI380</f>
        <v>1</v>
      </c>
      <c r="DB380">
        <f t="shared" si="40"/>
        <v>48865.11</v>
      </c>
      <c r="DC380">
        <f t="shared" si="41"/>
        <v>0</v>
      </c>
    </row>
    <row r="381" spans="1:107" x14ac:dyDescent="0.2">
      <c r="A381">
        <f>ROW(Source!A824)</f>
        <v>824</v>
      </c>
      <c r="B381">
        <v>38799519</v>
      </c>
      <c r="C381">
        <v>38802346</v>
      </c>
      <c r="D381">
        <v>38465610</v>
      </c>
      <c r="E381">
        <v>1</v>
      </c>
      <c r="F381">
        <v>1</v>
      </c>
      <c r="G381">
        <v>27</v>
      </c>
      <c r="H381">
        <v>3</v>
      </c>
      <c r="I381" t="s">
        <v>478</v>
      </c>
      <c r="J381" t="s">
        <v>479</v>
      </c>
      <c r="K381" t="s">
        <v>480</v>
      </c>
      <c r="L381">
        <v>1348</v>
      </c>
      <c r="N381">
        <v>1009</v>
      </c>
      <c r="O381" t="s">
        <v>155</v>
      </c>
      <c r="P381" t="s">
        <v>155</v>
      </c>
      <c r="Q381">
        <v>1000</v>
      </c>
      <c r="W381">
        <v>0</v>
      </c>
      <c r="X381">
        <v>-629368275</v>
      </c>
      <c r="Y381">
        <v>5.2499999999999998E-2</v>
      </c>
      <c r="AA381">
        <v>748299.67</v>
      </c>
      <c r="AB381">
        <v>0</v>
      </c>
      <c r="AC381">
        <v>0</v>
      </c>
      <c r="AD381">
        <v>0</v>
      </c>
      <c r="AE381">
        <v>748299.67</v>
      </c>
      <c r="AF381">
        <v>0</v>
      </c>
      <c r="AG381">
        <v>0</v>
      </c>
      <c r="AH381">
        <v>0</v>
      </c>
      <c r="AI381">
        <v>1</v>
      </c>
      <c r="AJ381">
        <v>1</v>
      </c>
      <c r="AK381">
        <v>1</v>
      </c>
      <c r="AL381">
        <v>1</v>
      </c>
      <c r="AN381">
        <v>0</v>
      </c>
      <c r="AO381">
        <v>1</v>
      </c>
      <c r="AP381">
        <v>0</v>
      </c>
      <c r="AQ381">
        <v>0</v>
      </c>
      <c r="AR381">
        <v>0</v>
      </c>
      <c r="AS381" t="s">
        <v>3</v>
      </c>
      <c r="AT381">
        <v>5.2499999999999998E-2</v>
      </c>
      <c r="AU381" t="s">
        <v>3</v>
      </c>
      <c r="AV381">
        <v>0</v>
      </c>
      <c r="AW381">
        <v>2</v>
      </c>
      <c r="AX381">
        <v>38802356</v>
      </c>
      <c r="AY381">
        <v>1</v>
      </c>
      <c r="AZ381">
        <v>0</v>
      </c>
      <c r="BA381">
        <v>349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CX381">
        <f>Y381*Source!I824</f>
        <v>0.1827</v>
      </c>
      <c r="CY381">
        <f>AA381</f>
        <v>748299.67</v>
      </c>
      <c r="CZ381">
        <f>AE381</f>
        <v>748299.67</v>
      </c>
      <c r="DA381">
        <f>AI381</f>
        <v>1</v>
      </c>
      <c r="DB381">
        <f t="shared" si="40"/>
        <v>39285.730000000003</v>
      </c>
      <c r="DC381">
        <f t="shared" si="41"/>
        <v>0</v>
      </c>
    </row>
    <row r="382" spans="1:107" x14ac:dyDescent="0.2">
      <c r="A382">
        <f>ROW(Source!A825)</f>
        <v>825</v>
      </c>
      <c r="B382">
        <v>38799519</v>
      </c>
      <c r="C382">
        <v>38802371</v>
      </c>
      <c r="D382">
        <v>38451941</v>
      </c>
      <c r="E382">
        <v>27</v>
      </c>
      <c r="F382">
        <v>1</v>
      </c>
      <c r="G382">
        <v>27</v>
      </c>
      <c r="H382">
        <v>1</v>
      </c>
      <c r="I382" t="s">
        <v>387</v>
      </c>
      <c r="J382" t="s">
        <v>3</v>
      </c>
      <c r="K382" t="s">
        <v>388</v>
      </c>
      <c r="L382">
        <v>1191</v>
      </c>
      <c r="N382">
        <v>1013</v>
      </c>
      <c r="O382" t="s">
        <v>389</v>
      </c>
      <c r="P382" t="s">
        <v>389</v>
      </c>
      <c r="Q382">
        <v>1</v>
      </c>
      <c r="W382">
        <v>0</v>
      </c>
      <c r="X382">
        <v>476480486</v>
      </c>
      <c r="Y382">
        <v>110.4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1</v>
      </c>
      <c r="AJ382">
        <v>1</v>
      </c>
      <c r="AK382">
        <v>1</v>
      </c>
      <c r="AL382">
        <v>1</v>
      </c>
      <c r="AN382">
        <v>0</v>
      </c>
      <c r="AO382">
        <v>1</v>
      </c>
      <c r="AP382">
        <v>0</v>
      </c>
      <c r="AQ382">
        <v>0</v>
      </c>
      <c r="AR382">
        <v>0</v>
      </c>
      <c r="AS382" t="s">
        <v>3</v>
      </c>
      <c r="AT382">
        <v>110.4</v>
      </c>
      <c r="AU382" t="s">
        <v>3</v>
      </c>
      <c r="AV382">
        <v>1</v>
      </c>
      <c r="AW382">
        <v>2</v>
      </c>
      <c r="AX382">
        <v>38802372</v>
      </c>
      <c r="AY382">
        <v>1</v>
      </c>
      <c r="AZ382">
        <v>0</v>
      </c>
      <c r="BA382">
        <v>350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CX382">
        <f>Y382*Source!I825</f>
        <v>11.040000000000001</v>
      </c>
      <c r="CY382">
        <f>AD382</f>
        <v>0</v>
      </c>
      <c r="CZ382">
        <f>AH382</f>
        <v>0</v>
      </c>
      <c r="DA382">
        <f>AL382</f>
        <v>1</v>
      </c>
      <c r="DB382">
        <f t="shared" si="40"/>
        <v>0</v>
      </c>
      <c r="DC382">
        <f t="shared" si="41"/>
        <v>0</v>
      </c>
    </row>
    <row r="383" spans="1:107" x14ac:dyDescent="0.2">
      <c r="A383">
        <f>ROW(Source!A825)</f>
        <v>825</v>
      </c>
      <c r="B383">
        <v>38799519</v>
      </c>
      <c r="C383">
        <v>38802371</v>
      </c>
      <c r="D383">
        <v>38464342</v>
      </c>
      <c r="E383">
        <v>1</v>
      </c>
      <c r="F383">
        <v>1</v>
      </c>
      <c r="G383">
        <v>27</v>
      </c>
      <c r="H383">
        <v>2</v>
      </c>
      <c r="I383" t="s">
        <v>520</v>
      </c>
      <c r="J383" t="s">
        <v>521</v>
      </c>
      <c r="K383" t="s">
        <v>522</v>
      </c>
      <c r="L383">
        <v>1368</v>
      </c>
      <c r="N383">
        <v>1011</v>
      </c>
      <c r="O383" t="s">
        <v>393</v>
      </c>
      <c r="P383" t="s">
        <v>393</v>
      </c>
      <c r="Q383">
        <v>1</v>
      </c>
      <c r="W383">
        <v>0</v>
      </c>
      <c r="X383">
        <v>-204835879</v>
      </c>
      <c r="Y383">
        <v>24</v>
      </c>
      <c r="AA383">
        <v>0</v>
      </c>
      <c r="AB383">
        <v>31</v>
      </c>
      <c r="AC383">
        <v>1.35</v>
      </c>
      <c r="AD383">
        <v>0</v>
      </c>
      <c r="AE383">
        <v>0</v>
      </c>
      <c r="AF383">
        <v>31</v>
      </c>
      <c r="AG383">
        <v>1.35</v>
      </c>
      <c r="AH383">
        <v>0</v>
      </c>
      <c r="AI383">
        <v>1</v>
      </c>
      <c r="AJ383">
        <v>1</v>
      </c>
      <c r="AK383">
        <v>1</v>
      </c>
      <c r="AL383">
        <v>1</v>
      </c>
      <c r="AN383">
        <v>0</v>
      </c>
      <c r="AO383">
        <v>1</v>
      </c>
      <c r="AP383">
        <v>0</v>
      </c>
      <c r="AQ383">
        <v>0</v>
      </c>
      <c r="AR383">
        <v>0</v>
      </c>
      <c r="AS383" t="s">
        <v>3</v>
      </c>
      <c r="AT383">
        <v>24</v>
      </c>
      <c r="AU383" t="s">
        <v>3</v>
      </c>
      <c r="AV383">
        <v>0</v>
      </c>
      <c r="AW383">
        <v>2</v>
      </c>
      <c r="AX383">
        <v>38802373</v>
      </c>
      <c r="AY383">
        <v>1</v>
      </c>
      <c r="AZ383">
        <v>0</v>
      </c>
      <c r="BA383">
        <v>351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CX383">
        <f>Y383*Source!I825</f>
        <v>2.4000000000000004</v>
      </c>
      <c r="CY383">
        <f>AB383</f>
        <v>31</v>
      </c>
      <c r="CZ383">
        <f>AF383</f>
        <v>31</v>
      </c>
      <c r="DA383">
        <f>AJ383</f>
        <v>1</v>
      </c>
      <c r="DB383">
        <f t="shared" si="40"/>
        <v>744</v>
      </c>
      <c r="DC383">
        <f t="shared" si="41"/>
        <v>32.4</v>
      </c>
    </row>
    <row r="384" spans="1:107" x14ac:dyDescent="0.2">
      <c r="A384">
        <f>ROW(Source!A825)</f>
        <v>825</v>
      </c>
      <c r="B384">
        <v>38799519</v>
      </c>
      <c r="C384">
        <v>38802371</v>
      </c>
      <c r="D384">
        <v>38466161</v>
      </c>
      <c r="E384">
        <v>1</v>
      </c>
      <c r="F384">
        <v>1</v>
      </c>
      <c r="G384">
        <v>27</v>
      </c>
      <c r="H384">
        <v>3</v>
      </c>
      <c r="I384" t="s">
        <v>523</v>
      </c>
      <c r="J384" t="s">
        <v>524</v>
      </c>
      <c r="K384" t="s">
        <v>525</v>
      </c>
      <c r="L384">
        <v>1348</v>
      </c>
      <c r="N384">
        <v>1009</v>
      </c>
      <c r="O384" t="s">
        <v>155</v>
      </c>
      <c r="P384" t="s">
        <v>155</v>
      </c>
      <c r="Q384">
        <v>1000</v>
      </c>
      <c r="W384">
        <v>0</v>
      </c>
      <c r="X384">
        <v>-1356276541</v>
      </c>
      <c r="Y384">
        <v>5.0000000000000001E-3</v>
      </c>
      <c r="AA384">
        <v>105084.63</v>
      </c>
      <c r="AB384">
        <v>0</v>
      </c>
      <c r="AC384">
        <v>0</v>
      </c>
      <c r="AD384">
        <v>0</v>
      </c>
      <c r="AE384">
        <v>105084.63</v>
      </c>
      <c r="AF384">
        <v>0</v>
      </c>
      <c r="AG384">
        <v>0</v>
      </c>
      <c r="AH384">
        <v>0</v>
      </c>
      <c r="AI384">
        <v>1</v>
      </c>
      <c r="AJ384">
        <v>1</v>
      </c>
      <c r="AK384">
        <v>1</v>
      </c>
      <c r="AL384">
        <v>1</v>
      </c>
      <c r="AN384">
        <v>0</v>
      </c>
      <c r="AO384">
        <v>1</v>
      </c>
      <c r="AP384">
        <v>0</v>
      </c>
      <c r="AQ384">
        <v>0</v>
      </c>
      <c r="AR384">
        <v>0</v>
      </c>
      <c r="AS384" t="s">
        <v>3</v>
      </c>
      <c r="AT384">
        <v>5.0000000000000001E-3</v>
      </c>
      <c r="AU384" t="s">
        <v>3</v>
      </c>
      <c r="AV384">
        <v>0</v>
      </c>
      <c r="AW384">
        <v>2</v>
      </c>
      <c r="AX384">
        <v>38802374</v>
      </c>
      <c r="AY384">
        <v>1</v>
      </c>
      <c r="AZ384">
        <v>0</v>
      </c>
      <c r="BA384">
        <v>352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CX384">
        <f>Y384*Source!I825</f>
        <v>5.0000000000000001E-4</v>
      </c>
      <c r="CY384">
        <f>AA384</f>
        <v>105084.63</v>
      </c>
      <c r="CZ384">
        <f>AE384</f>
        <v>105084.63</v>
      </c>
      <c r="DA384">
        <f>AI384</f>
        <v>1</v>
      </c>
      <c r="DB384">
        <f t="shared" si="40"/>
        <v>525.41999999999996</v>
      </c>
      <c r="DC384">
        <f t="shared" si="41"/>
        <v>0</v>
      </c>
    </row>
    <row r="385" spans="1:107" x14ac:dyDescent="0.2">
      <c r="A385">
        <f>ROW(Source!A825)</f>
        <v>825</v>
      </c>
      <c r="B385">
        <v>38799519</v>
      </c>
      <c r="C385">
        <v>38802371</v>
      </c>
      <c r="D385">
        <v>38467018</v>
      </c>
      <c r="E385">
        <v>1</v>
      </c>
      <c r="F385">
        <v>1</v>
      </c>
      <c r="G385">
        <v>27</v>
      </c>
      <c r="H385">
        <v>3</v>
      </c>
      <c r="I385" t="s">
        <v>496</v>
      </c>
      <c r="J385" t="s">
        <v>497</v>
      </c>
      <c r="K385" t="s">
        <v>498</v>
      </c>
      <c r="L385">
        <v>1348</v>
      </c>
      <c r="N385">
        <v>1009</v>
      </c>
      <c r="O385" t="s">
        <v>155</v>
      </c>
      <c r="P385" t="s">
        <v>155</v>
      </c>
      <c r="Q385">
        <v>1000</v>
      </c>
      <c r="W385">
        <v>0</v>
      </c>
      <c r="X385">
        <v>-941081254</v>
      </c>
      <c r="Y385">
        <v>2E-3</v>
      </c>
      <c r="AA385">
        <v>110781.14</v>
      </c>
      <c r="AB385">
        <v>0</v>
      </c>
      <c r="AC385">
        <v>0</v>
      </c>
      <c r="AD385">
        <v>0</v>
      </c>
      <c r="AE385">
        <v>110781.14</v>
      </c>
      <c r="AF385">
        <v>0</v>
      </c>
      <c r="AG385">
        <v>0</v>
      </c>
      <c r="AH385">
        <v>0</v>
      </c>
      <c r="AI385">
        <v>1</v>
      </c>
      <c r="AJ385">
        <v>1</v>
      </c>
      <c r="AK385">
        <v>1</v>
      </c>
      <c r="AL385">
        <v>1</v>
      </c>
      <c r="AN385">
        <v>0</v>
      </c>
      <c r="AO385">
        <v>1</v>
      </c>
      <c r="AP385">
        <v>0</v>
      </c>
      <c r="AQ385">
        <v>0</v>
      </c>
      <c r="AR385">
        <v>0</v>
      </c>
      <c r="AS385" t="s">
        <v>3</v>
      </c>
      <c r="AT385">
        <v>2E-3</v>
      </c>
      <c r="AU385" t="s">
        <v>3</v>
      </c>
      <c r="AV385">
        <v>0</v>
      </c>
      <c r="AW385">
        <v>2</v>
      </c>
      <c r="AX385">
        <v>38802375</v>
      </c>
      <c r="AY385">
        <v>1</v>
      </c>
      <c r="AZ385">
        <v>0</v>
      </c>
      <c r="BA385">
        <v>353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CX385">
        <f>Y385*Source!I825</f>
        <v>2.0000000000000001E-4</v>
      </c>
      <c r="CY385">
        <f>AA385</f>
        <v>110781.14</v>
      </c>
      <c r="CZ385">
        <f>AE385</f>
        <v>110781.14</v>
      </c>
      <c r="DA385">
        <f>AI385</f>
        <v>1</v>
      </c>
      <c r="DB385">
        <f t="shared" si="40"/>
        <v>221.56</v>
      </c>
      <c r="DC385">
        <f t="shared" si="41"/>
        <v>0</v>
      </c>
    </row>
    <row r="386" spans="1:107" x14ac:dyDescent="0.2">
      <c r="A386">
        <f>ROW(Source!A825)</f>
        <v>825</v>
      </c>
      <c r="B386">
        <v>38799519</v>
      </c>
      <c r="C386">
        <v>38802371</v>
      </c>
      <c r="D386">
        <v>38469130</v>
      </c>
      <c r="E386">
        <v>1</v>
      </c>
      <c r="F386">
        <v>1</v>
      </c>
      <c r="G386">
        <v>27</v>
      </c>
      <c r="H386">
        <v>3</v>
      </c>
      <c r="I386" t="s">
        <v>572</v>
      </c>
      <c r="J386" t="s">
        <v>573</v>
      </c>
      <c r="K386" t="s">
        <v>574</v>
      </c>
      <c r="L386">
        <v>1348</v>
      </c>
      <c r="N386">
        <v>1009</v>
      </c>
      <c r="O386" t="s">
        <v>155</v>
      </c>
      <c r="P386" t="s">
        <v>155</v>
      </c>
      <c r="Q386">
        <v>1000</v>
      </c>
      <c r="W386">
        <v>0</v>
      </c>
      <c r="X386">
        <v>-135154983</v>
      </c>
      <c r="Y386">
        <v>1</v>
      </c>
      <c r="AA386">
        <v>79722.539999999994</v>
      </c>
      <c r="AB386">
        <v>0</v>
      </c>
      <c r="AC386">
        <v>0</v>
      </c>
      <c r="AD386">
        <v>0</v>
      </c>
      <c r="AE386">
        <v>79722.539999999994</v>
      </c>
      <c r="AF386">
        <v>0</v>
      </c>
      <c r="AG386">
        <v>0</v>
      </c>
      <c r="AH386">
        <v>0</v>
      </c>
      <c r="AI386">
        <v>1</v>
      </c>
      <c r="AJ386">
        <v>1</v>
      </c>
      <c r="AK386">
        <v>1</v>
      </c>
      <c r="AL386">
        <v>1</v>
      </c>
      <c r="AN386">
        <v>0</v>
      </c>
      <c r="AO386">
        <v>1</v>
      </c>
      <c r="AP386">
        <v>0</v>
      </c>
      <c r="AQ386">
        <v>0</v>
      </c>
      <c r="AR386">
        <v>0</v>
      </c>
      <c r="AS386" t="s">
        <v>3</v>
      </c>
      <c r="AT386">
        <v>1</v>
      </c>
      <c r="AU386" t="s">
        <v>3</v>
      </c>
      <c r="AV386">
        <v>0</v>
      </c>
      <c r="AW386">
        <v>2</v>
      </c>
      <c r="AX386">
        <v>38802376</v>
      </c>
      <c r="AY386">
        <v>1</v>
      </c>
      <c r="AZ386">
        <v>0</v>
      </c>
      <c r="BA386">
        <v>354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CX386">
        <f>Y386*Source!I825</f>
        <v>0.1</v>
      </c>
      <c r="CY386">
        <f>AA386</f>
        <v>79722.539999999994</v>
      </c>
      <c r="CZ386">
        <f>AE386</f>
        <v>79722.539999999994</v>
      </c>
      <c r="DA386">
        <f>AI386</f>
        <v>1</v>
      </c>
      <c r="DB386">
        <f t="shared" si="40"/>
        <v>79722.539999999994</v>
      </c>
      <c r="DC386">
        <f t="shared" si="41"/>
        <v>0</v>
      </c>
    </row>
    <row r="387" spans="1:107" x14ac:dyDescent="0.2">
      <c r="A387">
        <f>ROW(Source!A825)</f>
        <v>825</v>
      </c>
      <c r="B387">
        <v>38799519</v>
      </c>
      <c r="C387">
        <v>38802371</v>
      </c>
      <c r="D387">
        <v>0</v>
      </c>
      <c r="E387">
        <v>27</v>
      </c>
      <c r="F387">
        <v>1</v>
      </c>
      <c r="G387">
        <v>27</v>
      </c>
      <c r="H387">
        <v>3</v>
      </c>
      <c r="I387" t="s">
        <v>196</v>
      </c>
      <c r="J387" t="s">
        <v>3</v>
      </c>
      <c r="K387" t="s">
        <v>360</v>
      </c>
      <c r="L387">
        <v>1354</v>
      </c>
      <c r="N387">
        <v>1010</v>
      </c>
      <c r="O387" t="s">
        <v>198</v>
      </c>
      <c r="P387" t="s">
        <v>198</v>
      </c>
      <c r="Q387">
        <v>1</v>
      </c>
      <c r="W387">
        <v>0</v>
      </c>
      <c r="X387">
        <v>941243767</v>
      </c>
      <c r="Y387">
        <v>20</v>
      </c>
      <c r="AA387">
        <v>10625</v>
      </c>
      <c r="AB387">
        <v>0</v>
      </c>
      <c r="AC387">
        <v>0</v>
      </c>
      <c r="AD387">
        <v>0</v>
      </c>
      <c r="AE387">
        <v>10625</v>
      </c>
      <c r="AF387">
        <v>0</v>
      </c>
      <c r="AG387">
        <v>0</v>
      </c>
      <c r="AH387">
        <v>0</v>
      </c>
      <c r="AI387">
        <v>1</v>
      </c>
      <c r="AJ387">
        <v>1</v>
      </c>
      <c r="AK387">
        <v>1</v>
      </c>
      <c r="AL387">
        <v>1</v>
      </c>
      <c r="AN387">
        <v>0</v>
      </c>
      <c r="AO387">
        <v>0</v>
      </c>
      <c r="AP387">
        <v>0</v>
      </c>
      <c r="AQ387">
        <v>0</v>
      </c>
      <c r="AR387">
        <v>0</v>
      </c>
      <c r="AS387" t="s">
        <v>3</v>
      </c>
      <c r="AT387">
        <v>20</v>
      </c>
      <c r="AU387" t="s">
        <v>3</v>
      </c>
      <c r="AV387">
        <v>0</v>
      </c>
      <c r="AW387">
        <v>1</v>
      </c>
      <c r="AX387">
        <v>-1</v>
      </c>
      <c r="AY387">
        <v>0</v>
      </c>
      <c r="AZ387">
        <v>0</v>
      </c>
      <c r="BA387" t="s">
        <v>3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CX387">
        <f>Y387*Source!I825</f>
        <v>2</v>
      </c>
      <c r="CY387">
        <f>AA387</f>
        <v>10625</v>
      </c>
      <c r="CZ387">
        <f>AE387</f>
        <v>10625</v>
      </c>
      <c r="DA387">
        <f>AI387</f>
        <v>1</v>
      </c>
      <c r="DB387">
        <f t="shared" si="40"/>
        <v>212500</v>
      </c>
      <c r="DC387">
        <f t="shared" si="41"/>
        <v>0</v>
      </c>
    </row>
    <row r="388" spans="1:107" x14ac:dyDescent="0.2">
      <c r="A388">
        <f>ROW(Source!A892)</f>
        <v>892</v>
      </c>
      <c r="B388">
        <v>38799519</v>
      </c>
      <c r="C388">
        <v>38801906</v>
      </c>
      <c r="D388">
        <v>38464211</v>
      </c>
      <c r="E388">
        <v>1</v>
      </c>
      <c r="F388">
        <v>1</v>
      </c>
      <c r="G388">
        <v>27</v>
      </c>
      <c r="H388">
        <v>2</v>
      </c>
      <c r="I388" t="s">
        <v>648</v>
      </c>
      <c r="J388" t="s">
        <v>649</v>
      </c>
      <c r="K388" t="s">
        <v>650</v>
      </c>
      <c r="L388">
        <v>1368</v>
      </c>
      <c r="N388">
        <v>1011</v>
      </c>
      <c r="O388" t="s">
        <v>393</v>
      </c>
      <c r="P388" t="s">
        <v>393</v>
      </c>
      <c r="Q388">
        <v>1</v>
      </c>
      <c r="W388">
        <v>0</v>
      </c>
      <c r="X388">
        <v>770341722</v>
      </c>
      <c r="Y388">
        <v>5.3699999999999998E-2</v>
      </c>
      <c r="AA388">
        <v>0</v>
      </c>
      <c r="AB388">
        <v>1494.43</v>
      </c>
      <c r="AC388">
        <v>481.21</v>
      </c>
      <c r="AD388">
        <v>0</v>
      </c>
      <c r="AE388">
        <v>0</v>
      </c>
      <c r="AF388">
        <v>1494.43</v>
      </c>
      <c r="AG388">
        <v>481.21</v>
      </c>
      <c r="AH388">
        <v>0</v>
      </c>
      <c r="AI388">
        <v>1</v>
      </c>
      <c r="AJ388">
        <v>1</v>
      </c>
      <c r="AK388">
        <v>1</v>
      </c>
      <c r="AL388">
        <v>1</v>
      </c>
      <c r="AN388">
        <v>0</v>
      </c>
      <c r="AO388">
        <v>1</v>
      </c>
      <c r="AP388">
        <v>0</v>
      </c>
      <c r="AQ388">
        <v>0</v>
      </c>
      <c r="AR388">
        <v>0</v>
      </c>
      <c r="AS388" t="s">
        <v>3</v>
      </c>
      <c r="AT388">
        <v>5.3699999999999998E-2</v>
      </c>
      <c r="AU388" t="s">
        <v>3</v>
      </c>
      <c r="AV388">
        <v>0</v>
      </c>
      <c r="AW388">
        <v>2</v>
      </c>
      <c r="AX388">
        <v>38801909</v>
      </c>
      <c r="AY388">
        <v>1</v>
      </c>
      <c r="AZ388">
        <v>0</v>
      </c>
      <c r="BA388">
        <v>355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CX388">
        <f>Y388*Source!I892</f>
        <v>9.3250049999999991</v>
      </c>
      <c r="CY388">
        <f>AB388</f>
        <v>1494.43</v>
      </c>
      <c r="CZ388">
        <f>AF388</f>
        <v>1494.43</v>
      </c>
      <c r="DA388">
        <f>AJ388</f>
        <v>1</v>
      </c>
      <c r="DB388">
        <f t="shared" si="40"/>
        <v>80.25</v>
      </c>
      <c r="DC388">
        <f t="shared" si="41"/>
        <v>25.84</v>
      </c>
    </row>
    <row r="389" spans="1:107" x14ac:dyDescent="0.2">
      <c r="A389">
        <f>ROW(Source!A893)</f>
        <v>893</v>
      </c>
      <c r="B389">
        <v>38799519</v>
      </c>
      <c r="C389">
        <v>38801907</v>
      </c>
      <c r="D389">
        <v>38465009</v>
      </c>
      <c r="E389">
        <v>1</v>
      </c>
      <c r="F389">
        <v>1</v>
      </c>
      <c r="G389">
        <v>27</v>
      </c>
      <c r="H389">
        <v>2</v>
      </c>
      <c r="I389" t="s">
        <v>651</v>
      </c>
      <c r="J389" t="s">
        <v>652</v>
      </c>
      <c r="K389" t="s">
        <v>653</v>
      </c>
      <c r="L389">
        <v>1368</v>
      </c>
      <c r="N389">
        <v>1011</v>
      </c>
      <c r="O389" t="s">
        <v>393</v>
      </c>
      <c r="P389" t="s">
        <v>393</v>
      </c>
      <c r="Q389">
        <v>1</v>
      </c>
      <c r="W389">
        <v>0</v>
      </c>
      <c r="X389">
        <v>238809398</v>
      </c>
      <c r="Y389">
        <v>0.02</v>
      </c>
      <c r="AA389">
        <v>0</v>
      </c>
      <c r="AB389">
        <v>1009.4</v>
      </c>
      <c r="AC389">
        <v>316.82</v>
      </c>
      <c r="AD389">
        <v>0</v>
      </c>
      <c r="AE389">
        <v>0</v>
      </c>
      <c r="AF389">
        <v>1009.4</v>
      </c>
      <c r="AG389">
        <v>316.82</v>
      </c>
      <c r="AH389">
        <v>0</v>
      </c>
      <c r="AI389">
        <v>1</v>
      </c>
      <c r="AJ389">
        <v>1</v>
      </c>
      <c r="AK389">
        <v>1</v>
      </c>
      <c r="AL389">
        <v>1</v>
      </c>
      <c r="AN389">
        <v>0</v>
      </c>
      <c r="AO389">
        <v>1</v>
      </c>
      <c r="AP389">
        <v>0</v>
      </c>
      <c r="AQ389">
        <v>0</v>
      </c>
      <c r="AR389">
        <v>0</v>
      </c>
      <c r="AS389" t="s">
        <v>3</v>
      </c>
      <c r="AT389">
        <v>0.02</v>
      </c>
      <c r="AU389" t="s">
        <v>3</v>
      </c>
      <c r="AV389">
        <v>0</v>
      </c>
      <c r="AW389">
        <v>2</v>
      </c>
      <c r="AX389">
        <v>38801910</v>
      </c>
      <c r="AY389">
        <v>1</v>
      </c>
      <c r="AZ389">
        <v>0</v>
      </c>
      <c r="BA389">
        <v>356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CX389">
        <f>Y389*Source!I893</f>
        <v>3.4730000000000003</v>
      </c>
      <c r="CY389">
        <f>AB389</f>
        <v>1009.4</v>
      </c>
      <c r="CZ389">
        <f>AF389</f>
        <v>1009.4</v>
      </c>
      <c r="DA389">
        <f>AJ389</f>
        <v>1</v>
      </c>
      <c r="DB389">
        <f t="shared" si="40"/>
        <v>20.190000000000001</v>
      </c>
      <c r="DC389">
        <f t="shared" si="41"/>
        <v>6.34</v>
      </c>
    </row>
    <row r="390" spans="1:107" x14ac:dyDescent="0.2">
      <c r="A390">
        <f>ROW(Source!A893)</f>
        <v>893</v>
      </c>
      <c r="B390">
        <v>38799519</v>
      </c>
      <c r="C390">
        <v>38801907</v>
      </c>
      <c r="D390">
        <v>38465010</v>
      </c>
      <c r="E390">
        <v>1</v>
      </c>
      <c r="F390">
        <v>1</v>
      </c>
      <c r="G390">
        <v>27</v>
      </c>
      <c r="H390">
        <v>2</v>
      </c>
      <c r="I390" t="s">
        <v>654</v>
      </c>
      <c r="J390" t="s">
        <v>655</v>
      </c>
      <c r="K390" t="s">
        <v>656</v>
      </c>
      <c r="L390">
        <v>1368</v>
      </c>
      <c r="N390">
        <v>1011</v>
      </c>
      <c r="O390" t="s">
        <v>393</v>
      </c>
      <c r="P390" t="s">
        <v>393</v>
      </c>
      <c r="Q390">
        <v>1</v>
      </c>
      <c r="W390">
        <v>0</v>
      </c>
      <c r="X390">
        <v>-1786200580</v>
      </c>
      <c r="Y390">
        <v>1.7999999999999999E-2</v>
      </c>
      <c r="AA390">
        <v>0</v>
      </c>
      <c r="AB390">
        <v>1014.12</v>
      </c>
      <c r="AC390">
        <v>317.13</v>
      </c>
      <c r="AD390">
        <v>0</v>
      </c>
      <c r="AE390">
        <v>0</v>
      </c>
      <c r="AF390">
        <v>1014.12</v>
      </c>
      <c r="AG390">
        <v>317.13</v>
      </c>
      <c r="AH390">
        <v>0</v>
      </c>
      <c r="AI390">
        <v>1</v>
      </c>
      <c r="AJ390">
        <v>1</v>
      </c>
      <c r="AK390">
        <v>1</v>
      </c>
      <c r="AL390">
        <v>1</v>
      </c>
      <c r="AN390">
        <v>0</v>
      </c>
      <c r="AO390">
        <v>1</v>
      </c>
      <c r="AP390">
        <v>0</v>
      </c>
      <c r="AQ390">
        <v>0</v>
      </c>
      <c r="AR390">
        <v>0</v>
      </c>
      <c r="AS390" t="s">
        <v>3</v>
      </c>
      <c r="AT390">
        <v>1.7999999999999999E-2</v>
      </c>
      <c r="AU390" t="s">
        <v>3</v>
      </c>
      <c r="AV390">
        <v>0</v>
      </c>
      <c r="AW390">
        <v>2</v>
      </c>
      <c r="AX390">
        <v>38801911</v>
      </c>
      <c r="AY390">
        <v>1</v>
      </c>
      <c r="AZ390">
        <v>0</v>
      </c>
      <c r="BA390">
        <v>357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CX390">
        <f>Y390*Source!I893</f>
        <v>3.1256999999999997</v>
      </c>
      <c r="CY390">
        <f>AB390</f>
        <v>1014.12</v>
      </c>
      <c r="CZ390">
        <f>AF390</f>
        <v>1014.12</v>
      </c>
      <c r="DA390">
        <f>AJ390</f>
        <v>1</v>
      </c>
      <c r="DB390">
        <f t="shared" si="40"/>
        <v>18.25</v>
      </c>
      <c r="DC390">
        <f t="shared" si="41"/>
        <v>5.71</v>
      </c>
    </row>
    <row r="391" spans="1:107" x14ac:dyDescent="0.2">
      <c r="A391">
        <f>ROW(Source!A894)</f>
        <v>894</v>
      </c>
      <c r="B391">
        <v>38799519</v>
      </c>
      <c r="C391">
        <v>38801908</v>
      </c>
      <c r="D391">
        <v>38465009</v>
      </c>
      <c r="E391">
        <v>1</v>
      </c>
      <c r="F391">
        <v>1</v>
      </c>
      <c r="G391">
        <v>27</v>
      </c>
      <c r="H391">
        <v>2</v>
      </c>
      <c r="I391" t="s">
        <v>651</v>
      </c>
      <c r="J391" t="s">
        <v>652</v>
      </c>
      <c r="K391" t="s">
        <v>653</v>
      </c>
      <c r="L391">
        <v>1368</v>
      </c>
      <c r="N391">
        <v>1011</v>
      </c>
      <c r="O391" t="s">
        <v>393</v>
      </c>
      <c r="P391" t="s">
        <v>393</v>
      </c>
      <c r="Q391">
        <v>1</v>
      </c>
      <c r="W391">
        <v>0</v>
      </c>
      <c r="X391">
        <v>238809398</v>
      </c>
      <c r="Y391">
        <v>0.28000000000000003</v>
      </c>
      <c r="AA391">
        <v>0</v>
      </c>
      <c r="AB391">
        <v>1009.4</v>
      </c>
      <c r="AC391">
        <v>316.82</v>
      </c>
      <c r="AD391">
        <v>0</v>
      </c>
      <c r="AE391">
        <v>0</v>
      </c>
      <c r="AF391">
        <v>1009.4</v>
      </c>
      <c r="AG391">
        <v>316.82</v>
      </c>
      <c r="AH391">
        <v>0</v>
      </c>
      <c r="AI391">
        <v>1</v>
      </c>
      <c r="AJ391">
        <v>1</v>
      </c>
      <c r="AK391">
        <v>1</v>
      </c>
      <c r="AL391">
        <v>1</v>
      </c>
      <c r="AN391">
        <v>0</v>
      </c>
      <c r="AO391">
        <v>1</v>
      </c>
      <c r="AP391">
        <v>1</v>
      </c>
      <c r="AQ391">
        <v>0</v>
      </c>
      <c r="AR391">
        <v>0</v>
      </c>
      <c r="AS391" t="s">
        <v>3</v>
      </c>
      <c r="AT391">
        <v>0.01</v>
      </c>
      <c r="AU391" t="s">
        <v>375</v>
      </c>
      <c r="AV391">
        <v>0</v>
      </c>
      <c r="AW391">
        <v>2</v>
      </c>
      <c r="AX391">
        <v>38801912</v>
      </c>
      <c r="AY391">
        <v>1</v>
      </c>
      <c r="AZ391">
        <v>0</v>
      </c>
      <c r="BA391">
        <v>358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CX391">
        <f>Y391*Source!I894</f>
        <v>48.622000000000007</v>
      </c>
      <c r="CY391">
        <f>AB391</f>
        <v>1009.4</v>
      </c>
      <c r="CZ391">
        <f>AF391</f>
        <v>1009.4</v>
      </c>
      <c r="DA391">
        <f>AJ391</f>
        <v>1</v>
      </c>
      <c r="DB391">
        <f>ROUND((ROUND(AT391*CZ391,2)*28),6)</f>
        <v>282.52</v>
      </c>
      <c r="DC391">
        <f>ROUND((ROUND(AT391*AG391,2)*28),6)</f>
        <v>88.76</v>
      </c>
    </row>
    <row r="392" spans="1:107" x14ac:dyDescent="0.2">
      <c r="A392">
        <f>ROW(Source!A894)</f>
        <v>894</v>
      </c>
      <c r="B392">
        <v>38799519</v>
      </c>
      <c r="C392">
        <v>38801908</v>
      </c>
      <c r="D392">
        <v>38465010</v>
      </c>
      <c r="E392">
        <v>1</v>
      </c>
      <c r="F392">
        <v>1</v>
      </c>
      <c r="G392">
        <v>27</v>
      </c>
      <c r="H392">
        <v>2</v>
      </c>
      <c r="I392" t="s">
        <v>654</v>
      </c>
      <c r="J392" t="s">
        <v>655</v>
      </c>
      <c r="K392" t="s">
        <v>656</v>
      </c>
      <c r="L392">
        <v>1368</v>
      </c>
      <c r="N392">
        <v>1011</v>
      </c>
      <c r="O392" t="s">
        <v>393</v>
      </c>
      <c r="P392" t="s">
        <v>393</v>
      </c>
      <c r="Q392">
        <v>1</v>
      </c>
      <c r="W392">
        <v>0</v>
      </c>
      <c r="X392">
        <v>-1786200580</v>
      </c>
      <c r="Y392">
        <v>0.224</v>
      </c>
      <c r="AA392">
        <v>0</v>
      </c>
      <c r="AB392">
        <v>1014.12</v>
      </c>
      <c r="AC392">
        <v>317.13</v>
      </c>
      <c r="AD392">
        <v>0</v>
      </c>
      <c r="AE392">
        <v>0</v>
      </c>
      <c r="AF392">
        <v>1014.12</v>
      </c>
      <c r="AG392">
        <v>317.13</v>
      </c>
      <c r="AH392">
        <v>0</v>
      </c>
      <c r="AI392">
        <v>1</v>
      </c>
      <c r="AJ392">
        <v>1</v>
      </c>
      <c r="AK392">
        <v>1</v>
      </c>
      <c r="AL392">
        <v>1</v>
      </c>
      <c r="AN392">
        <v>0</v>
      </c>
      <c r="AO392">
        <v>1</v>
      </c>
      <c r="AP392">
        <v>1</v>
      </c>
      <c r="AQ392">
        <v>0</v>
      </c>
      <c r="AR392">
        <v>0</v>
      </c>
      <c r="AS392" t="s">
        <v>3</v>
      </c>
      <c r="AT392">
        <v>8.0000000000000002E-3</v>
      </c>
      <c r="AU392" t="s">
        <v>375</v>
      </c>
      <c r="AV392">
        <v>0</v>
      </c>
      <c r="AW392">
        <v>2</v>
      </c>
      <c r="AX392">
        <v>38801913</v>
      </c>
      <c r="AY392">
        <v>1</v>
      </c>
      <c r="AZ392">
        <v>0</v>
      </c>
      <c r="BA392">
        <v>359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CX392">
        <f>Y392*Source!I894</f>
        <v>38.897600000000004</v>
      </c>
      <c r="CY392">
        <f>AB392</f>
        <v>1014.12</v>
      </c>
      <c r="CZ392">
        <f>AF392</f>
        <v>1014.12</v>
      </c>
      <c r="DA392">
        <f>AJ392</f>
        <v>1</v>
      </c>
      <c r="DB392">
        <f>ROUND((ROUND(AT392*CZ392,2)*28),6)</f>
        <v>227.08</v>
      </c>
      <c r="DC392">
        <f>ROUND((ROUND(AT392*AG392,2)*28),6)</f>
        <v>71.12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59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44" x14ac:dyDescent="0.2">
      <c r="A1">
        <f>ROW(Source!A32)</f>
        <v>32</v>
      </c>
      <c r="B1">
        <v>38800049</v>
      </c>
      <c r="C1">
        <v>38800044</v>
      </c>
      <c r="D1">
        <v>38451941</v>
      </c>
      <c r="E1">
        <v>27</v>
      </c>
      <c r="F1">
        <v>1</v>
      </c>
      <c r="G1">
        <v>27</v>
      </c>
      <c r="H1">
        <v>1</v>
      </c>
      <c r="I1" t="s">
        <v>387</v>
      </c>
      <c r="J1" t="s">
        <v>3</v>
      </c>
      <c r="K1" t="s">
        <v>388</v>
      </c>
      <c r="L1">
        <v>1191</v>
      </c>
      <c r="N1">
        <v>1013</v>
      </c>
      <c r="O1" t="s">
        <v>389</v>
      </c>
      <c r="P1" t="s">
        <v>389</v>
      </c>
      <c r="Q1">
        <v>1</v>
      </c>
      <c r="X1">
        <v>36.46</v>
      </c>
      <c r="Y1">
        <v>0</v>
      </c>
      <c r="Z1">
        <v>0</v>
      </c>
      <c r="AA1">
        <v>0</v>
      </c>
      <c r="AB1">
        <v>0</v>
      </c>
      <c r="AC1">
        <v>0</v>
      </c>
      <c r="AD1">
        <v>1</v>
      </c>
      <c r="AE1">
        <v>1</v>
      </c>
      <c r="AF1" t="s">
        <v>22</v>
      </c>
      <c r="AG1">
        <v>7.2920000000000007</v>
      </c>
      <c r="AH1">
        <v>2</v>
      </c>
      <c r="AI1">
        <v>38800049</v>
      </c>
      <c r="AJ1">
        <v>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</row>
    <row r="2" spans="1:44" x14ac:dyDescent="0.2">
      <c r="A2">
        <f>ROW(Source!A32)</f>
        <v>32</v>
      </c>
      <c r="B2">
        <v>38800050</v>
      </c>
      <c r="C2">
        <v>38800044</v>
      </c>
      <c r="D2">
        <v>38464670</v>
      </c>
      <c r="E2">
        <v>1</v>
      </c>
      <c r="F2">
        <v>1</v>
      </c>
      <c r="G2">
        <v>27</v>
      </c>
      <c r="H2">
        <v>2</v>
      </c>
      <c r="I2" t="s">
        <v>390</v>
      </c>
      <c r="J2" t="s">
        <v>391</v>
      </c>
      <c r="K2" t="s">
        <v>392</v>
      </c>
      <c r="L2">
        <v>1368</v>
      </c>
      <c r="N2">
        <v>1011</v>
      </c>
      <c r="O2" t="s">
        <v>393</v>
      </c>
      <c r="P2" t="s">
        <v>393</v>
      </c>
      <c r="Q2">
        <v>1</v>
      </c>
      <c r="X2">
        <v>0.02</v>
      </c>
      <c r="Y2">
        <v>0</v>
      </c>
      <c r="Z2">
        <v>41.19</v>
      </c>
      <c r="AA2">
        <v>0.34</v>
      </c>
      <c r="AB2">
        <v>0</v>
      </c>
      <c r="AC2">
        <v>0</v>
      </c>
      <c r="AD2">
        <v>1</v>
      </c>
      <c r="AE2">
        <v>0</v>
      </c>
      <c r="AF2" t="s">
        <v>22</v>
      </c>
      <c r="AG2">
        <v>4.0000000000000001E-3</v>
      </c>
      <c r="AH2">
        <v>2</v>
      </c>
      <c r="AI2">
        <v>38800050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A3">
        <f>ROW(Source!A32)</f>
        <v>32</v>
      </c>
      <c r="B3">
        <v>38800051</v>
      </c>
      <c r="C3">
        <v>38800044</v>
      </c>
      <c r="D3">
        <v>38465076</v>
      </c>
      <c r="E3">
        <v>1</v>
      </c>
      <c r="F3">
        <v>1</v>
      </c>
      <c r="G3">
        <v>27</v>
      </c>
      <c r="H3">
        <v>2</v>
      </c>
      <c r="I3" t="s">
        <v>394</v>
      </c>
      <c r="J3" t="s">
        <v>395</v>
      </c>
      <c r="K3" t="s">
        <v>396</v>
      </c>
      <c r="L3">
        <v>1368</v>
      </c>
      <c r="N3">
        <v>1011</v>
      </c>
      <c r="O3" t="s">
        <v>393</v>
      </c>
      <c r="P3" t="s">
        <v>393</v>
      </c>
      <c r="Q3">
        <v>1</v>
      </c>
      <c r="X3">
        <v>0.2</v>
      </c>
      <c r="Y3">
        <v>0</v>
      </c>
      <c r="Z3">
        <v>27.02</v>
      </c>
      <c r="AA3">
        <v>0.03</v>
      </c>
      <c r="AB3">
        <v>0</v>
      </c>
      <c r="AC3">
        <v>0</v>
      </c>
      <c r="AD3">
        <v>1</v>
      </c>
      <c r="AE3">
        <v>0</v>
      </c>
      <c r="AF3" t="s">
        <v>22</v>
      </c>
      <c r="AG3">
        <v>4.0000000000000008E-2</v>
      </c>
      <c r="AH3">
        <v>2</v>
      </c>
      <c r="AI3">
        <v>38800051</v>
      </c>
      <c r="AJ3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A4">
        <f>ROW(Source!A32)</f>
        <v>32</v>
      </c>
      <c r="B4">
        <v>38800052</v>
      </c>
      <c r="C4">
        <v>38800044</v>
      </c>
      <c r="D4">
        <v>38465038</v>
      </c>
      <c r="E4">
        <v>1</v>
      </c>
      <c r="F4">
        <v>1</v>
      </c>
      <c r="G4">
        <v>27</v>
      </c>
      <c r="H4">
        <v>2</v>
      </c>
      <c r="I4" t="s">
        <v>397</v>
      </c>
      <c r="J4" t="s">
        <v>398</v>
      </c>
      <c r="K4" t="s">
        <v>399</v>
      </c>
      <c r="L4">
        <v>1368</v>
      </c>
      <c r="N4">
        <v>1011</v>
      </c>
      <c r="O4" t="s">
        <v>393</v>
      </c>
      <c r="P4" t="s">
        <v>393</v>
      </c>
      <c r="Q4">
        <v>1</v>
      </c>
      <c r="X4">
        <v>3.01</v>
      </c>
      <c r="Y4">
        <v>0</v>
      </c>
      <c r="Z4">
        <v>4.71</v>
      </c>
      <c r="AA4">
        <v>1.1200000000000001</v>
      </c>
      <c r="AB4">
        <v>0</v>
      </c>
      <c r="AC4">
        <v>0</v>
      </c>
      <c r="AD4">
        <v>1</v>
      </c>
      <c r="AE4">
        <v>0</v>
      </c>
      <c r="AF4" t="s">
        <v>22</v>
      </c>
      <c r="AG4">
        <v>0.60199999999999998</v>
      </c>
      <c r="AH4">
        <v>2</v>
      </c>
      <c r="AI4">
        <v>38800052</v>
      </c>
      <c r="AJ4">
        <v>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A5">
        <f>ROW(Source!A32)</f>
        <v>32</v>
      </c>
      <c r="B5">
        <v>38800053</v>
      </c>
      <c r="C5">
        <v>38800044</v>
      </c>
      <c r="D5">
        <v>38464353</v>
      </c>
      <c r="E5">
        <v>1</v>
      </c>
      <c r="F5">
        <v>1</v>
      </c>
      <c r="G5">
        <v>27</v>
      </c>
      <c r="H5">
        <v>2</v>
      </c>
      <c r="I5" t="s">
        <v>400</v>
      </c>
      <c r="J5" t="s">
        <v>401</v>
      </c>
      <c r="K5" t="s">
        <v>402</v>
      </c>
      <c r="L5">
        <v>1368</v>
      </c>
      <c r="N5">
        <v>1011</v>
      </c>
      <c r="O5" t="s">
        <v>393</v>
      </c>
      <c r="P5" t="s">
        <v>393</v>
      </c>
      <c r="Q5">
        <v>1</v>
      </c>
      <c r="X5">
        <v>1.1000000000000001</v>
      </c>
      <c r="Y5">
        <v>0</v>
      </c>
      <c r="Z5">
        <v>10.39</v>
      </c>
      <c r="AA5">
        <v>0.03</v>
      </c>
      <c r="AB5">
        <v>0</v>
      </c>
      <c r="AC5">
        <v>0</v>
      </c>
      <c r="AD5">
        <v>1</v>
      </c>
      <c r="AE5">
        <v>0</v>
      </c>
      <c r="AF5" t="s">
        <v>22</v>
      </c>
      <c r="AG5">
        <v>0.22000000000000003</v>
      </c>
      <c r="AH5">
        <v>2</v>
      </c>
      <c r="AI5">
        <v>38800053</v>
      </c>
      <c r="AJ5">
        <v>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A6">
        <f>ROW(Source!A32)</f>
        <v>32</v>
      </c>
      <c r="B6">
        <v>38800054</v>
      </c>
      <c r="C6">
        <v>38800044</v>
      </c>
      <c r="D6">
        <v>38466121</v>
      </c>
      <c r="E6">
        <v>1</v>
      </c>
      <c r="F6">
        <v>1</v>
      </c>
      <c r="G6">
        <v>27</v>
      </c>
      <c r="H6">
        <v>3</v>
      </c>
      <c r="I6" t="s">
        <v>403</v>
      </c>
      <c r="J6" t="s">
        <v>404</v>
      </c>
      <c r="K6" t="s">
        <v>405</v>
      </c>
      <c r="L6">
        <v>1327</v>
      </c>
      <c r="N6">
        <v>1005</v>
      </c>
      <c r="O6" t="s">
        <v>289</v>
      </c>
      <c r="P6" t="s">
        <v>289</v>
      </c>
      <c r="Q6">
        <v>1</v>
      </c>
      <c r="X6">
        <v>100</v>
      </c>
      <c r="Y6">
        <v>397.91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 t="s">
        <v>21</v>
      </c>
      <c r="AG6">
        <v>0</v>
      </c>
      <c r="AH6">
        <v>2</v>
      </c>
      <c r="AI6">
        <v>38800054</v>
      </c>
      <c r="AJ6">
        <v>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A7">
        <f>ROW(Source!A32)</f>
        <v>32</v>
      </c>
      <c r="B7">
        <v>38800055</v>
      </c>
      <c r="C7">
        <v>38800044</v>
      </c>
      <c r="D7">
        <v>38466153</v>
      </c>
      <c r="E7">
        <v>1</v>
      </c>
      <c r="F7">
        <v>1</v>
      </c>
      <c r="G7">
        <v>27</v>
      </c>
      <c r="H7">
        <v>3</v>
      </c>
      <c r="I7" t="s">
        <v>406</v>
      </c>
      <c r="J7" t="s">
        <v>407</v>
      </c>
      <c r="K7" t="s">
        <v>408</v>
      </c>
      <c r="L7">
        <v>1348</v>
      </c>
      <c r="N7">
        <v>1009</v>
      </c>
      <c r="O7" t="s">
        <v>155</v>
      </c>
      <c r="P7" t="s">
        <v>155</v>
      </c>
      <c r="Q7">
        <v>1000</v>
      </c>
      <c r="X7">
        <v>2E-3</v>
      </c>
      <c r="Y7">
        <v>153777.19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 t="s">
        <v>21</v>
      </c>
      <c r="AG7">
        <v>0</v>
      </c>
      <c r="AH7">
        <v>2</v>
      </c>
      <c r="AI7">
        <v>38800055</v>
      </c>
      <c r="AJ7">
        <v>7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A8">
        <f>ROW(Source!A32)</f>
        <v>32</v>
      </c>
      <c r="B8">
        <v>38800056</v>
      </c>
      <c r="C8">
        <v>38800044</v>
      </c>
      <c r="D8">
        <v>38469131</v>
      </c>
      <c r="E8">
        <v>1</v>
      </c>
      <c r="F8">
        <v>1</v>
      </c>
      <c r="G8">
        <v>27</v>
      </c>
      <c r="H8">
        <v>3</v>
      </c>
      <c r="I8" t="s">
        <v>409</v>
      </c>
      <c r="J8" t="s">
        <v>410</v>
      </c>
      <c r="K8" t="s">
        <v>411</v>
      </c>
      <c r="L8">
        <v>1348</v>
      </c>
      <c r="N8">
        <v>1009</v>
      </c>
      <c r="O8" t="s">
        <v>155</v>
      </c>
      <c r="P8" t="s">
        <v>155</v>
      </c>
      <c r="Q8">
        <v>1000</v>
      </c>
      <c r="X8">
        <v>1.0999999999999999E-2</v>
      </c>
      <c r="Y8">
        <v>75026.559999999998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 t="s">
        <v>21</v>
      </c>
      <c r="AG8">
        <v>0</v>
      </c>
      <c r="AH8">
        <v>2</v>
      </c>
      <c r="AI8">
        <v>38800056</v>
      </c>
      <c r="AJ8">
        <v>8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A9">
        <f>ROW(Source!A33)</f>
        <v>33</v>
      </c>
      <c r="B9">
        <v>38800058</v>
      </c>
      <c r="C9">
        <v>38800057</v>
      </c>
      <c r="D9">
        <v>38451941</v>
      </c>
      <c r="E9">
        <v>27</v>
      </c>
      <c r="F9">
        <v>1</v>
      </c>
      <c r="G9">
        <v>27</v>
      </c>
      <c r="H9">
        <v>1</v>
      </c>
      <c r="I9" t="s">
        <v>387</v>
      </c>
      <c r="J9" t="s">
        <v>3</v>
      </c>
      <c r="K9" t="s">
        <v>388</v>
      </c>
      <c r="L9">
        <v>1191</v>
      </c>
      <c r="N9">
        <v>1013</v>
      </c>
      <c r="O9" t="s">
        <v>389</v>
      </c>
      <c r="P9" t="s">
        <v>389</v>
      </c>
      <c r="Q9">
        <v>1</v>
      </c>
      <c r="X9">
        <v>2.15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 t="s">
        <v>3</v>
      </c>
      <c r="AG9">
        <v>2.15</v>
      </c>
      <c r="AH9">
        <v>2</v>
      </c>
      <c r="AI9">
        <v>38800058</v>
      </c>
      <c r="AJ9">
        <v>9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A10">
        <f>ROW(Source!A34)</f>
        <v>34</v>
      </c>
      <c r="B10">
        <v>38800060</v>
      </c>
      <c r="C10">
        <v>38800059</v>
      </c>
      <c r="D10">
        <v>38451941</v>
      </c>
      <c r="E10">
        <v>27</v>
      </c>
      <c r="F10">
        <v>1</v>
      </c>
      <c r="G10">
        <v>27</v>
      </c>
      <c r="H10">
        <v>1</v>
      </c>
      <c r="I10" t="s">
        <v>387</v>
      </c>
      <c r="J10" t="s">
        <v>3</v>
      </c>
      <c r="K10" t="s">
        <v>388</v>
      </c>
      <c r="L10">
        <v>1191</v>
      </c>
      <c r="N10">
        <v>1013</v>
      </c>
      <c r="O10" t="s">
        <v>389</v>
      </c>
      <c r="P10" t="s">
        <v>389</v>
      </c>
      <c r="Q10">
        <v>1</v>
      </c>
      <c r="X10">
        <v>8.94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 t="s">
        <v>3</v>
      </c>
      <c r="AG10">
        <v>8.94</v>
      </c>
      <c r="AH10">
        <v>2</v>
      </c>
      <c r="AI10">
        <v>38800060</v>
      </c>
      <c r="AJ10">
        <v>10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A11">
        <f>ROW(Source!A34)</f>
        <v>34</v>
      </c>
      <c r="B11">
        <v>38800061</v>
      </c>
      <c r="C11">
        <v>38800059</v>
      </c>
      <c r="D11">
        <v>38464567</v>
      </c>
      <c r="E11">
        <v>1</v>
      </c>
      <c r="F11">
        <v>1</v>
      </c>
      <c r="G11">
        <v>27</v>
      </c>
      <c r="H11">
        <v>2</v>
      </c>
      <c r="I11" t="s">
        <v>412</v>
      </c>
      <c r="J11" t="s">
        <v>413</v>
      </c>
      <c r="K11" t="s">
        <v>414</v>
      </c>
      <c r="L11">
        <v>1368</v>
      </c>
      <c r="N11">
        <v>1011</v>
      </c>
      <c r="O11" t="s">
        <v>393</v>
      </c>
      <c r="P11" t="s">
        <v>393</v>
      </c>
      <c r="Q11">
        <v>1</v>
      </c>
      <c r="X11">
        <v>7.92</v>
      </c>
      <c r="Y11">
        <v>0</v>
      </c>
      <c r="Z11">
        <v>744.2</v>
      </c>
      <c r="AA11">
        <v>423.17</v>
      </c>
      <c r="AB11">
        <v>0</v>
      </c>
      <c r="AC11">
        <v>0</v>
      </c>
      <c r="AD11">
        <v>1</v>
      </c>
      <c r="AE11">
        <v>0</v>
      </c>
      <c r="AF11" t="s">
        <v>3</v>
      </c>
      <c r="AG11">
        <v>7.92</v>
      </c>
      <c r="AH11">
        <v>2</v>
      </c>
      <c r="AI11">
        <v>38800061</v>
      </c>
      <c r="AJ11">
        <v>11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A12">
        <f>ROW(Source!A34)</f>
        <v>34</v>
      </c>
      <c r="B12">
        <v>38800062</v>
      </c>
      <c r="C12">
        <v>38800059</v>
      </c>
      <c r="D12">
        <v>38465082</v>
      </c>
      <c r="E12">
        <v>1</v>
      </c>
      <c r="F12">
        <v>1</v>
      </c>
      <c r="G12">
        <v>27</v>
      </c>
      <c r="H12">
        <v>2</v>
      </c>
      <c r="I12" t="s">
        <v>415</v>
      </c>
      <c r="J12" t="s">
        <v>416</v>
      </c>
      <c r="K12" t="s">
        <v>417</v>
      </c>
      <c r="L12">
        <v>1368</v>
      </c>
      <c r="N12">
        <v>1011</v>
      </c>
      <c r="O12" t="s">
        <v>393</v>
      </c>
      <c r="P12" t="s">
        <v>393</v>
      </c>
      <c r="Q12">
        <v>1</v>
      </c>
      <c r="X12">
        <v>7.92</v>
      </c>
      <c r="Y12">
        <v>0</v>
      </c>
      <c r="Z12">
        <v>6.02</v>
      </c>
      <c r="AA12">
        <v>0.02</v>
      </c>
      <c r="AB12">
        <v>0</v>
      </c>
      <c r="AC12">
        <v>0</v>
      </c>
      <c r="AD12">
        <v>1</v>
      </c>
      <c r="AE12">
        <v>0</v>
      </c>
      <c r="AF12" t="s">
        <v>3</v>
      </c>
      <c r="AG12">
        <v>7.92</v>
      </c>
      <c r="AH12">
        <v>2</v>
      </c>
      <c r="AI12">
        <v>38800062</v>
      </c>
      <c r="AJ12">
        <v>12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A13">
        <f>ROW(Source!A34)</f>
        <v>34</v>
      </c>
      <c r="B13">
        <v>38800063</v>
      </c>
      <c r="C13">
        <v>38800059</v>
      </c>
      <c r="D13">
        <v>38453717</v>
      </c>
      <c r="E13">
        <v>27</v>
      </c>
      <c r="F13">
        <v>1</v>
      </c>
      <c r="G13">
        <v>27</v>
      </c>
      <c r="H13">
        <v>3</v>
      </c>
      <c r="I13" t="s">
        <v>418</v>
      </c>
      <c r="J13" t="s">
        <v>3</v>
      </c>
      <c r="K13" t="s">
        <v>419</v>
      </c>
      <c r="L13">
        <v>1348</v>
      </c>
      <c r="N13">
        <v>1009</v>
      </c>
      <c r="O13" t="s">
        <v>155</v>
      </c>
      <c r="P13" t="s">
        <v>155</v>
      </c>
      <c r="Q13">
        <v>1000</v>
      </c>
      <c r="X13">
        <v>2.4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 t="s">
        <v>3</v>
      </c>
      <c r="AG13">
        <v>2.4</v>
      </c>
      <c r="AH13">
        <v>2</v>
      </c>
      <c r="AI13">
        <v>38800063</v>
      </c>
      <c r="AJ13">
        <v>13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A14">
        <f>ROW(Source!A36)</f>
        <v>36</v>
      </c>
      <c r="B14">
        <v>38800065</v>
      </c>
      <c r="C14">
        <v>38800064</v>
      </c>
      <c r="D14">
        <v>38451941</v>
      </c>
      <c r="E14">
        <v>27</v>
      </c>
      <c r="F14">
        <v>1</v>
      </c>
      <c r="G14">
        <v>27</v>
      </c>
      <c r="H14">
        <v>1</v>
      </c>
      <c r="I14" t="s">
        <v>387</v>
      </c>
      <c r="J14" t="s">
        <v>3</v>
      </c>
      <c r="K14" t="s">
        <v>388</v>
      </c>
      <c r="L14">
        <v>1191</v>
      </c>
      <c r="N14">
        <v>1013</v>
      </c>
      <c r="O14" t="s">
        <v>389</v>
      </c>
      <c r="P14" t="s">
        <v>389</v>
      </c>
      <c r="Q14">
        <v>1</v>
      </c>
      <c r="X14">
        <v>33.6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 t="s">
        <v>3</v>
      </c>
      <c r="AG14">
        <v>33.6</v>
      </c>
      <c r="AH14">
        <v>2</v>
      </c>
      <c r="AI14">
        <v>38800065</v>
      </c>
      <c r="AJ14">
        <v>14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A15">
        <f>ROW(Source!A36)</f>
        <v>36</v>
      </c>
      <c r="B15">
        <v>38800066</v>
      </c>
      <c r="C15">
        <v>38800064</v>
      </c>
      <c r="D15">
        <v>38453717</v>
      </c>
      <c r="E15">
        <v>27</v>
      </c>
      <c r="F15">
        <v>1</v>
      </c>
      <c r="G15">
        <v>27</v>
      </c>
      <c r="H15">
        <v>3</v>
      </c>
      <c r="I15" t="s">
        <v>418</v>
      </c>
      <c r="J15" t="s">
        <v>3</v>
      </c>
      <c r="K15" t="s">
        <v>419</v>
      </c>
      <c r="L15">
        <v>1348</v>
      </c>
      <c r="N15">
        <v>1009</v>
      </c>
      <c r="O15" t="s">
        <v>155</v>
      </c>
      <c r="P15" t="s">
        <v>155</v>
      </c>
      <c r="Q15">
        <v>1000</v>
      </c>
      <c r="X15">
        <v>0.8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 t="s">
        <v>3</v>
      </c>
      <c r="AG15">
        <v>0.8</v>
      </c>
      <c r="AH15">
        <v>2</v>
      </c>
      <c r="AI15">
        <v>38800066</v>
      </c>
      <c r="AJ15">
        <v>15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A16">
        <f>ROW(Source!A37)</f>
        <v>37</v>
      </c>
      <c r="B16">
        <v>38800068</v>
      </c>
      <c r="C16">
        <v>38800067</v>
      </c>
      <c r="D16">
        <v>38451941</v>
      </c>
      <c r="E16">
        <v>27</v>
      </c>
      <c r="F16">
        <v>1</v>
      </c>
      <c r="G16">
        <v>27</v>
      </c>
      <c r="H16">
        <v>1</v>
      </c>
      <c r="I16" t="s">
        <v>387</v>
      </c>
      <c r="J16" t="s">
        <v>3</v>
      </c>
      <c r="K16" t="s">
        <v>388</v>
      </c>
      <c r="L16">
        <v>1191</v>
      </c>
      <c r="N16">
        <v>1013</v>
      </c>
      <c r="O16" t="s">
        <v>389</v>
      </c>
      <c r="P16" t="s">
        <v>389</v>
      </c>
      <c r="Q16">
        <v>1</v>
      </c>
      <c r="X16">
        <v>7.67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 t="s">
        <v>3</v>
      </c>
      <c r="AG16">
        <v>7.67</v>
      </c>
      <c r="AH16">
        <v>2</v>
      </c>
      <c r="AI16">
        <v>38800068</v>
      </c>
      <c r="AJ16">
        <v>16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">
      <c r="A17">
        <f>ROW(Source!A37)</f>
        <v>37</v>
      </c>
      <c r="B17">
        <v>38800069</v>
      </c>
      <c r="C17">
        <v>38800067</v>
      </c>
      <c r="D17">
        <v>38453717</v>
      </c>
      <c r="E17">
        <v>27</v>
      </c>
      <c r="F17">
        <v>1</v>
      </c>
      <c r="G17">
        <v>27</v>
      </c>
      <c r="H17">
        <v>3</v>
      </c>
      <c r="I17" t="s">
        <v>418</v>
      </c>
      <c r="J17" t="s">
        <v>3</v>
      </c>
      <c r="K17" t="s">
        <v>419</v>
      </c>
      <c r="L17">
        <v>1348</v>
      </c>
      <c r="N17">
        <v>1009</v>
      </c>
      <c r="O17" t="s">
        <v>155</v>
      </c>
      <c r="P17" t="s">
        <v>155</v>
      </c>
      <c r="Q17">
        <v>1000</v>
      </c>
      <c r="X17">
        <v>0.7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 t="s">
        <v>3</v>
      </c>
      <c r="AG17">
        <v>0.7</v>
      </c>
      <c r="AH17">
        <v>2</v>
      </c>
      <c r="AI17">
        <v>38800069</v>
      </c>
      <c r="AJ17">
        <v>17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">
      <c r="A18">
        <f>ROW(Source!A38)</f>
        <v>38</v>
      </c>
      <c r="B18">
        <v>38800073</v>
      </c>
      <c r="C18">
        <v>38800072</v>
      </c>
      <c r="D18">
        <v>38451941</v>
      </c>
      <c r="E18">
        <v>27</v>
      </c>
      <c r="F18">
        <v>1</v>
      </c>
      <c r="G18">
        <v>27</v>
      </c>
      <c r="H18">
        <v>1</v>
      </c>
      <c r="I18" t="s">
        <v>387</v>
      </c>
      <c r="J18" t="s">
        <v>3</v>
      </c>
      <c r="K18" t="s">
        <v>388</v>
      </c>
      <c r="L18">
        <v>1191</v>
      </c>
      <c r="N18">
        <v>1013</v>
      </c>
      <c r="O18" t="s">
        <v>389</v>
      </c>
      <c r="P18" t="s">
        <v>389</v>
      </c>
      <c r="Q18">
        <v>1</v>
      </c>
      <c r="X18">
        <v>53.78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1</v>
      </c>
      <c r="AF18" t="s">
        <v>3</v>
      </c>
      <c r="AG18">
        <v>53.78</v>
      </c>
      <c r="AH18">
        <v>2</v>
      </c>
      <c r="AI18">
        <v>38800073</v>
      </c>
      <c r="AJ18">
        <v>18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">
      <c r="A19">
        <f>ROW(Source!A38)</f>
        <v>38</v>
      </c>
      <c r="B19">
        <v>38800074</v>
      </c>
      <c r="C19">
        <v>38800072</v>
      </c>
      <c r="D19">
        <v>38453717</v>
      </c>
      <c r="E19">
        <v>27</v>
      </c>
      <c r="F19">
        <v>1</v>
      </c>
      <c r="G19">
        <v>27</v>
      </c>
      <c r="H19">
        <v>3</v>
      </c>
      <c r="I19" t="s">
        <v>418</v>
      </c>
      <c r="J19" t="s">
        <v>3</v>
      </c>
      <c r="K19" t="s">
        <v>419</v>
      </c>
      <c r="L19">
        <v>1348</v>
      </c>
      <c r="N19">
        <v>1009</v>
      </c>
      <c r="O19" t="s">
        <v>155</v>
      </c>
      <c r="P19" t="s">
        <v>155</v>
      </c>
      <c r="Q19">
        <v>1000</v>
      </c>
      <c r="X19">
        <v>6.01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 t="s">
        <v>3</v>
      </c>
      <c r="AG19">
        <v>6.01</v>
      </c>
      <c r="AH19">
        <v>2</v>
      </c>
      <c r="AI19">
        <v>38800074</v>
      </c>
      <c r="AJ19">
        <v>19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">
      <c r="A20">
        <f>ROW(Source!A74)</f>
        <v>74</v>
      </c>
      <c r="B20">
        <v>38799940</v>
      </c>
      <c r="C20">
        <v>38799724</v>
      </c>
      <c r="D20">
        <v>38451941</v>
      </c>
      <c r="E20">
        <v>27</v>
      </c>
      <c r="F20">
        <v>1</v>
      </c>
      <c r="G20">
        <v>27</v>
      </c>
      <c r="H20">
        <v>1</v>
      </c>
      <c r="I20" t="s">
        <v>387</v>
      </c>
      <c r="J20" t="s">
        <v>3</v>
      </c>
      <c r="K20" t="s">
        <v>388</v>
      </c>
      <c r="L20">
        <v>1191</v>
      </c>
      <c r="N20">
        <v>1013</v>
      </c>
      <c r="O20" t="s">
        <v>389</v>
      </c>
      <c r="P20" t="s">
        <v>389</v>
      </c>
      <c r="Q20">
        <v>1</v>
      </c>
      <c r="X20">
        <v>221.6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1</v>
      </c>
      <c r="AF20" t="s">
        <v>3</v>
      </c>
      <c r="AG20">
        <v>221.6</v>
      </c>
      <c r="AH20">
        <v>2</v>
      </c>
      <c r="AI20">
        <v>38799940</v>
      </c>
      <c r="AJ20">
        <v>20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">
      <c r="A21">
        <f>ROW(Source!A75)</f>
        <v>75</v>
      </c>
      <c r="B21">
        <v>38799944</v>
      </c>
      <c r="C21">
        <v>38799727</v>
      </c>
      <c r="D21">
        <v>38451941</v>
      </c>
      <c r="E21">
        <v>27</v>
      </c>
      <c r="F21">
        <v>1</v>
      </c>
      <c r="G21">
        <v>27</v>
      </c>
      <c r="H21">
        <v>1</v>
      </c>
      <c r="I21" t="s">
        <v>387</v>
      </c>
      <c r="J21" t="s">
        <v>3</v>
      </c>
      <c r="K21" t="s">
        <v>388</v>
      </c>
      <c r="L21">
        <v>1191</v>
      </c>
      <c r="N21">
        <v>1013</v>
      </c>
      <c r="O21" t="s">
        <v>389</v>
      </c>
      <c r="P21" t="s">
        <v>389</v>
      </c>
      <c r="Q21">
        <v>1</v>
      </c>
      <c r="X21">
        <v>12.42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1</v>
      </c>
      <c r="AF21" t="s">
        <v>3</v>
      </c>
      <c r="AG21">
        <v>12.42</v>
      </c>
      <c r="AH21">
        <v>2</v>
      </c>
      <c r="AI21">
        <v>38799944</v>
      </c>
      <c r="AJ21">
        <v>21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">
      <c r="A22">
        <f>ROW(Source!A75)</f>
        <v>75</v>
      </c>
      <c r="B22">
        <v>38799945</v>
      </c>
      <c r="C22">
        <v>38799727</v>
      </c>
      <c r="D22">
        <v>38464567</v>
      </c>
      <c r="E22">
        <v>1</v>
      </c>
      <c r="F22">
        <v>1</v>
      </c>
      <c r="G22">
        <v>27</v>
      </c>
      <c r="H22">
        <v>2</v>
      </c>
      <c r="I22" t="s">
        <v>412</v>
      </c>
      <c r="J22" t="s">
        <v>413</v>
      </c>
      <c r="K22" t="s">
        <v>414</v>
      </c>
      <c r="L22">
        <v>1368</v>
      </c>
      <c r="N22">
        <v>1011</v>
      </c>
      <c r="O22" t="s">
        <v>393</v>
      </c>
      <c r="P22" t="s">
        <v>393</v>
      </c>
      <c r="Q22">
        <v>1</v>
      </c>
      <c r="X22">
        <v>13.12</v>
      </c>
      <c r="Y22">
        <v>0</v>
      </c>
      <c r="Z22">
        <v>744.2</v>
      </c>
      <c r="AA22">
        <v>423.17</v>
      </c>
      <c r="AB22">
        <v>0</v>
      </c>
      <c r="AC22">
        <v>0</v>
      </c>
      <c r="AD22">
        <v>1</v>
      </c>
      <c r="AE22">
        <v>0</v>
      </c>
      <c r="AF22" t="s">
        <v>3</v>
      </c>
      <c r="AG22">
        <v>13.12</v>
      </c>
      <c r="AH22">
        <v>2</v>
      </c>
      <c r="AI22">
        <v>38799945</v>
      </c>
      <c r="AJ22">
        <v>22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">
      <c r="A23">
        <f>ROW(Source!A75)</f>
        <v>75</v>
      </c>
      <c r="B23">
        <v>38799946</v>
      </c>
      <c r="C23">
        <v>38799727</v>
      </c>
      <c r="D23">
        <v>38465034</v>
      </c>
      <c r="E23">
        <v>1</v>
      </c>
      <c r="F23">
        <v>1</v>
      </c>
      <c r="G23">
        <v>27</v>
      </c>
      <c r="H23">
        <v>2</v>
      </c>
      <c r="I23" t="s">
        <v>420</v>
      </c>
      <c r="J23" t="s">
        <v>421</v>
      </c>
      <c r="K23" t="s">
        <v>422</v>
      </c>
      <c r="L23">
        <v>1368</v>
      </c>
      <c r="N23">
        <v>1011</v>
      </c>
      <c r="O23" t="s">
        <v>393</v>
      </c>
      <c r="P23" t="s">
        <v>393</v>
      </c>
      <c r="Q23">
        <v>1</v>
      </c>
      <c r="X23">
        <v>13.12</v>
      </c>
      <c r="Y23">
        <v>0</v>
      </c>
      <c r="Z23">
        <v>3.75</v>
      </c>
      <c r="AA23">
        <v>2.56</v>
      </c>
      <c r="AB23">
        <v>0</v>
      </c>
      <c r="AC23">
        <v>0</v>
      </c>
      <c r="AD23">
        <v>1</v>
      </c>
      <c r="AE23">
        <v>0</v>
      </c>
      <c r="AF23" t="s">
        <v>3</v>
      </c>
      <c r="AG23">
        <v>13.12</v>
      </c>
      <c r="AH23">
        <v>2</v>
      </c>
      <c r="AI23">
        <v>38799946</v>
      </c>
      <c r="AJ23">
        <v>23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">
      <c r="A24">
        <f>ROW(Source!A76)</f>
        <v>76</v>
      </c>
      <c r="B24">
        <v>38799947</v>
      </c>
      <c r="C24">
        <v>38799734</v>
      </c>
      <c r="D24">
        <v>38451941</v>
      </c>
      <c r="E24">
        <v>27</v>
      </c>
      <c r="F24">
        <v>1</v>
      </c>
      <c r="G24">
        <v>27</v>
      </c>
      <c r="H24">
        <v>1</v>
      </c>
      <c r="I24" t="s">
        <v>387</v>
      </c>
      <c r="J24" t="s">
        <v>3</v>
      </c>
      <c r="K24" t="s">
        <v>388</v>
      </c>
      <c r="L24">
        <v>1191</v>
      </c>
      <c r="N24">
        <v>1013</v>
      </c>
      <c r="O24" t="s">
        <v>389</v>
      </c>
      <c r="P24" t="s">
        <v>389</v>
      </c>
      <c r="Q24">
        <v>1</v>
      </c>
      <c r="X24">
        <v>3.44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1</v>
      </c>
      <c r="AF24" t="s">
        <v>3</v>
      </c>
      <c r="AG24">
        <v>3.44</v>
      </c>
      <c r="AH24">
        <v>2</v>
      </c>
      <c r="AI24">
        <v>38799947</v>
      </c>
      <c r="AJ24">
        <v>24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">
      <c r="A25">
        <f>ROW(Source!A76)</f>
        <v>76</v>
      </c>
      <c r="B25">
        <v>38799948</v>
      </c>
      <c r="C25">
        <v>38799734</v>
      </c>
      <c r="D25">
        <v>38464567</v>
      </c>
      <c r="E25">
        <v>1</v>
      </c>
      <c r="F25">
        <v>1</v>
      </c>
      <c r="G25">
        <v>27</v>
      </c>
      <c r="H25">
        <v>2</v>
      </c>
      <c r="I25" t="s">
        <v>412</v>
      </c>
      <c r="J25" t="s">
        <v>413</v>
      </c>
      <c r="K25" t="s">
        <v>414</v>
      </c>
      <c r="L25">
        <v>1368</v>
      </c>
      <c r="N25">
        <v>1011</v>
      </c>
      <c r="O25" t="s">
        <v>393</v>
      </c>
      <c r="P25" t="s">
        <v>393</v>
      </c>
      <c r="Q25">
        <v>1</v>
      </c>
      <c r="X25">
        <v>0.38</v>
      </c>
      <c r="Y25">
        <v>0</v>
      </c>
      <c r="Z25">
        <v>744.2</v>
      </c>
      <c r="AA25">
        <v>423.17</v>
      </c>
      <c r="AB25">
        <v>0</v>
      </c>
      <c r="AC25">
        <v>0</v>
      </c>
      <c r="AD25">
        <v>1</v>
      </c>
      <c r="AE25">
        <v>0</v>
      </c>
      <c r="AF25" t="s">
        <v>3</v>
      </c>
      <c r="AG25">
        <v>0.38</v>
      </c>
      <c r="AH25">
        <v>2</v>
      </c>
      <c r="AI25">
        <v>38799948</v>
      </c>
      <c r="AJ25">
        <v>25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">
      <c r="A26">
        <f>ROW(Source!A76)</f>
        <v>76</v>
      </c>
      <c r="B26">
        <v>38799949</v>
      </c>
      <c r="C26">
        <v>38799734</v>
      </c>
      <c r="D26">
        <v>38465034</v>
      </c>
      <c r="E26">
        <v>1</v>
      </c>
      <c r="F26">
        <v>1</v>
      </c>
      <c r="G26">
        <v>27</v>
      </c>
      <c r="H26">
        <v>2</v>
      </c>
      <c r="I26" t="s">
        <v>420</v>
      </c>
      <c r="J26" t="s">
        <v>421</v>
      </c>
      <c r="K26" t="s">
        <v>422</v>
      </c>
      <c r="L26">
        <v>1368</v>
      </c>
      <c r="N26">
        <v>1011</v>
      </c>
      <c r="O26" t="s">
        <v>393</v>
      </c>
      <c r="P26" t="s">
        <v>393</v>
      </c>
      <c r="Q26">
        <v>1</v>
      </c>
      <c r="X26">
        <v>0.38</v>
      </c>
      <c r="Y26">
        <v>0</v>
      </c>
      <c r="Z26">
        <v>3.75</v>
      </c>
      <c r="AA26">
        <v>2.56</v>
      </c>
      <c r="AB26">
        <v>0</v>
      </c>
      <c r="AC26">
        <v>0</v>
      </c>
      <c r="AD26">
        <v>1</v>
      </c>
      <c r="AE26">
        <v>0</v>
      </c>
      <c r="AF26" t="s">
        <v>3</v>
      </c>
      <c r="AG26">
        <v>0.38</v>
      </c>
      <c r="AH26">
        <v>2</v>
      </c>
      <c r="AI26">
        <v>38799949</v>
      </c>
      <c r="AJ26">
        <v>26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">
      <c r="A27">
        <f>ROW(Source!A76)</f>
        <v>76</v>
      </c>
      <c r="B27">
        <v>38799950</v>
      </c>
      <c r="C27">
        <v>38799734</v>
      </c>
      <c r="D27">
        <v>38466366</v>
      </c>
      <c r="E27">
        <v>1</v>
      </c>
      <c r="F27">
        <v>1</v>
      </c>
      <c r="G27">
        <v>27</v>
      </c>
      <c r="H27">
        <v>3</v>
      </c>
      <c r="I27" t="s">
        <v>423</v>
      </c>
      <c r="J27" t="s">
        <v>424</v>
      </c>
      <c r="K27" t="s">
        <v>425</v>
      </c>
      <c r="L27">
        <v>1339</v>
      </c>
      <c r="N27">
        <v>1007</v>
      </c>
      <c r="O27" t="s">
        <v>35</v>
      </c>
      <c r="P27" t="s">
        <v>35</v>
      </c>
      <c r="Q27">
        <v>1</v>
      </c>
      <c r="X27">
        <v>1.1200000000000001</v>
      </c>
      <c r="Y27">
        <v>590.78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 t="s">
        <v>3</v>
      </c>
      <c r="AG27">
        <v>1.1200000000000001</v>
      </c>
      <c r="AH27">
        <v>2</v>
      </c>
      <c r="AI27">
        <v>38799950</v>
      </c>
      <c r="AJ27">
        <v>27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">
      <c r="A28">
        <f>ROW(Source!A77)</f>
        <v>77</v>
      </c>
      <c r="B28">
        <v>38799951</v>
      </c>
      <c r="C28">
        <v>38799743</v>
      </c>
      <c r="D28">
        <v>38451941</v>
      </c>
      <c r="E28">
        <v>27</v>
      </c>
      <c r="F28">
        <v>1</v>
      </c>
      <c r="G28">
        <v>27</v>
      </c>
      <c r="H28">
        <v>1</v>
      </c>
      <c r="I28" t="s">
        <v>387</v>
      </c>
      <c r="J28" t="s">
        <v>3</v>
      </c>
      <c r="K28" t="s">
        <v>388</v>
      </c>
      <c r="L28">
        <v>1191</v>
      </c>
      <c r="N28">
        <v>1013</v>
      </c>
      <c r="O28" t="s">
        <v>389</v>
      </c>
      <c r="P28" t="s">
        <v>389</v>
      </c>
      <c r="Q28">
        <v>1</v>
      </c>
      <c r="X28">
        <v>1.1499999999999999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1</v>
      </c>
      <c r="AF28" t="s">
        <v>3</v>
      </c>
      <c r="AG28">
        <v>1.1499999999999999</v>
      </c>
      <c r="AH28">
        <v>2</v>
      </c>
      <c r="AI28">
        <v>38799951</v>
      </c>
      <c r="AJ28">
        <v>28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">
      <c r="A29">
        <f>ROW(Source!A77)</f>
        <v>77</v>
      </c>
      <c r="B29">
        <v>38799952</v>
      </c>
      <c r="C29">
        <v>38799743</v>
      </c>
      <c r="D29">
        <v>38465314</v>
      </c>
      <c r="E29">
        <v>1</v>
      </c>
      <c r="F29">
        <v>1</v>
      </c>
      <c r="G29">
        <v>27</v>
      </c>
      <c r="H29">
        <v>3</v>
      </c>
      <c r="I29" t="s">
        <v>426</v>
      </c>
      <c r="J29" t="s">
        <v>427</v>
      </c>
      <c r="K29" t="s">
        <v>428</v>
      </c>
      <c r="L29">
        <v>1348</v>
      </c>
      <c r="N29">
        <v>1009</v>
      </c>
      <c r="O29" t="s">
        <v>155</v>
      </c>
      <c r="P29" t="s">
        <v>155</v>
      </c>
      <c r="Q29">
        <v>1000</v>
      </c>
      <c r="X29">
        <v>4.4000000000000003E-3</v>
      </c>
      <c r="Y29">
        <v>4207.5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 t="s">
        <v>3</v>
      </c>
      <c r="AG29">
        <v>4.4000000000000003E-3</v>
      </c>
      <c r="AH29">
        <v>2</v>
      </c>
      <c r="AI29">
        <v>38799952</v>
      </c>
      <c r="AJ29">
        <v>29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">
      <c r="A30">
        <f>ROW(Source!A77)</f>
        <v>77</v>
      </c>
      <c r="B30">
        <v>38799953</v>
      </c>
      <c r="C30">
        <v>38799743</v>
      </c>
      <c r="D30">
        <v>38468080</v>
      </c>
      <c r="E30">
        <v>1</v>
      </c>
      <c r="F30">
        <v>1</v>
      </c>
      <c r="G30">
        <v>27</v>
      </c>
      <c r="H30">
        <v>3</v>
      </c>
      <c r="I30" t="s">
        <v>429</v>
      </c>
      <c r="J30" t="s">
        <v>430</v>
      </c>
      <c r="K30" t="s">
        <v>431</v>
      </c>
      <c r="L30">
        <v>1339</v>
      </c>
      <c r="N30">
        <v>1007</v>
      </c>
      <c r="O30" t="s">
        <v>35</v>
      </c>
      <c r="P30" t="s">
        <v>35</v>
      </c>
      <c r="Q30">
        <v>1</v>
      </c>
      <c r="X30">
        <v>7.5999999999999998E-2</v>
      </c>
      <c r="Y30">
        <v>3714.73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 t="s">
        <v>3</v>
      </c>
      <c r="AG30">
        <v>7.5999999999999998E-2</v>
      </c>
      <c r="AH30">
        <v>2</v>
      </c>
      <c r="AI30">
        <v>38799953</v>
      </c>
      <c r="AJ30">
        <v>30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2">
      <c r="A31">
        <f>ROW(Source!A79)</f>
        <v>79</v>
      </c>
      <c r="B31">
        <v>38799956</v>
      </c>
      <c r="C31">
        <v>38799752</v>
      </c>
      <c r="D31">
        <v>38451941</v>
      </c>
      <c r="E31">
        <v>27</v>
      </c>
      <c r="F31">
        <v>1</v>
      </c>
      <c r="G31">
        <v>27</v>
      </c>
      <c r="H31">
        <v>1</v>
      </c>
      <c r="I31" t="s">
        <v>387</v>
      </c>
      <c r="J31" t="s">
        <v>3</v>
      </c>
      <c r="K31" t="s">
        <v>388</v>
      </c>
      <c r="L31">
        <v>1191</v>
      </c>
      <c r="N31">
        <v>1013</v>
      </c>
      <c r="O31" t="s">
        <v>389</v>
      </c>
      <c r="P31" t="s">
        <v>389</v>
      </c>
      <c r="Q31">
        <v>1</v>
      </c>
      <c r="X31">
        <v>3.73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1</v>
      </c>
      <c r="AF31" t="s">
        <v>3</v>
      </c>
      <c r="AG31">
        <v>3.73</v>
      </c>
      <c r="AH31">
        <v>2</v>
      </c>
      <c r="AI31">
        <v>38799956</v>
      </c>
      <c r="AJ31">
        <v>32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">
      <c r="A32">
        <f>ROW(Source!A79)</f>
        <v>79</v>
      </c>
      <c r="B32">
        <v>38799957</v>
      </c>
      <c r="C32">
        <v>38799752</v>
      </c>
      <c r="D32">
        <v>38464567</v>
      </c>
      <c r="E32">
        <v>1</v>
      </c>
      <c r="F32">
        <v>1</v>
      </c>
      <c r="G32">
        <v>27</v>
      </c>
      <c r="H32">
        <v>2</v>
      </c>
      <c r="I32" t="s">
        <v>412</v>
      </c>
      <c r="J32" t="s">
        <v>413</v>
      </c>
      <c r="K32" t="s">
        <v>414</v>
      </c>
      <c r="L32">
        <v>1368</v>
      </c>
      <c r="N32">
        <v>1011</v>
      </c>
      <c r="O32" t="s">
        <v>393</v>
      </c>
      <c r="P32" t="s">
        <v>393</v>
      </c>
      <c r="Q32">
        <v>1</v>
      </c>
      <c r="X32">
        <v>1.49</v>
      </c>
      <c r="Y32">
        <v>0</v>
      </c>
      <c r="Z32">
        <v>744.2</v>
      </c>
      <c r="AA32">
        <v>423.17</v>
      </c>
      <c r="AB32">
        <v>0</v>
      </c>
      <c r="AC32">
        <v>0</v>
      </c>
      <c r="AD32">
        <v>1</v>
      </c>
      <c r="AE32">
        <v>0</v>
      </c>
      <c r="AF32" t="s">
        <v>3</v>
      </c>
      <c r="AG32">
        <v>1.49</v>
      </c>
      <c r="AH32">
        <v>2</v>
      </c>
      <c r="AI32">
        <v>38799957</v>
      </c>
      <c r="AJ32">
        <v>33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">
      <c r="A33">
        <f>ROW(Source!A79)</f>
        <v>79</v>
      </c>
      <c r="B33">
        <v>38799958</v>
      </c>
      <c r="C33">
        <v>38799752</v>
      </c>
      <c r="D33">
        <v>38465034</v>
      </c>
      <c r="E33">
        <v>1</v>
      </c>
      <c r="F33">
        <v>1</v>
      </c>
      <c r="G33">
        <v>27</v>
      </c>
      <c r="H33">
        <v>2</v>
      </c>
      <c r="I33" t="s">
        <v>420</v>
      </c>
      <c r="J33" t="s">
        <v>421</v>
      </c>
      <c r="K33" t="s">
        <v>422</v>
      </c>
      <c r="L33">
        <v>1368</v>
      </c>
      <c r="N33">
        <v>1011</v>
      </c>
      <c r="O33" t="s">
        <v>393</v>
      </c>
      <c r="P33" t="s">
        <v>393</v>
      </c>
      <c r="Q33">
        <v>1</v>
      </c>
      <c r="X33">
        <v>1.49</v>
      </c>
      <c r="Y33">
        <v>0</v>
      </c>
      <c r="Z33">
        <v>3.75</v>
      </c>
      <c r="AA33">
        <v>2.56</v>
      </c>
      <c r="AB33">
        <v>0</v>
      </c>
      <c r="AC33">
        <v>0</v>
      </c>
      <c r="AD33">
        <v>1</v>
      </c>
      <c r="AE33">
        <v>0</v>
      </c>
      <c r="AF33" t="s">
        <v>3</v>
      </c>
      <c r="AG33">
        <v>1.49</v>
      </c>
      <c r="AH33">
        <v>2</v>
      </c>
      <c r="AI33">
        <v>38799958</v>
      </c>
      <c r="AJ33">
        <v>34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A34">
        <f>ROW(Source!A79)</f>
        <v>79</v>
      </c>
      <c r="B34">
        <v>38799959</v>
      </c>
      <c r="C34">
        <v>38799752</v>
      </c>
      <c r="D34">
        <v>38466379</v>
      </c>
      <c r="E34">
        <v>1</v>
      </c>
      <c r="F34">
        <v>1</v>
      </c>
      <c r="G34">
        <v>27</v>
      </c>
      <c r="H34">
        <v>3</v>
      </c>
      <c r="I34" t="s">
        <v>432</v>
      </c>
      <c r="J34" t="s">
        <v>433</v>
      </c>
      <c r="K34" t="s">
        <v>434</v>
      </c>
      <c r="L34">
        <v>1339</v>
      </c>
      <c r="N34">
        <v>1007</v>
      </c>
      <c r="O34" t="s">
        <v>35</v>
      </c>
      <c r="P34" t="s">
        <v>35</v>
      </c>
      <c r="Q34">
        <v>1</v>
      </c>
      <c r="X34">
        <v>0.18</v>
      </c>
      <c r="Y34">
        <v>1436.5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 t="s">
        <v>3</v>
      </c>
      <c r="AG34">
        <v>0.18</v>
      </c>
      <c r="AH34">
        <v>2</v>
      </c>
      <c r="AI34">
        <v>38799959</v>
      </c>
      <c r="AJ34">
        <v>35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">
      <c r="A35">
        <f>ROW(Source!A79)</f>
        <v>79</v>
      </c>
      <c r="B35">
        <v>38799960</v>
      </c>
      <c r="C35">
        <v>38799752</v>
      </c>
      <c r="D35">
        <v>38466380</v>
      </c>
      <c r="E35">
        <v>1</v>
      </c>
      <c r="F35">
        <v>1</v>
      </c>
      <c r="G35">
        <v>27</v>
      </c>
      <c r="H35">
        <v>3</v>
      </c>
      <c r="I35" t="s">
        <v>435</v>
      </c>
      <c r="J35" t="s">
        <v>436</v>
      </c>
      <c r="K35" t="s">
        <v>437</v>
      </c>
      <c r="L35">
        <v>1339</v>
      </c>
      <c r="N35">
        <v>1007</v>
      </c>
      <c r="O35" t="s">
        <v>35</v>
      </c>
      <c r="P35" t="s">
        <v>35</v>
      </c>
      <c r="Q35">
        <v>1</v>
      </c>
      <c r="X35">
        <v>0.09</v>
      </c>
      <c r="Y35">
        <v>1436.5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 t="s">
        <v>3</v>
      </c>
      <c r="AG35">
        <v>0.09</v>
      </c>
      <c r="AH35">
        <v>2</v>
      </c>
      <c r="AI35">
        <v>38799960</v>
      </c>
      <c r="AJ35">
        <v>36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">
      <c r="A36">
        <f>ROW(Source!A79)</f>
        <v>79</v>
      </c>
      <c r="B36">
        <v>38799961</v>
      </c>
      <c r="C36">
        <v>38799752</v>
      </c>
      <c r="D36">
        <v>38466382</v>
      </c>
      <c r="E36">
        <v>1</v>
      </c>
      <c r="F36">
        <v>1</v>
      </c>
      <c r="G36">
        <v>27</v>
      </c>
      <c r="H36">
        <v>3</v>
      </c>
      <c r="I36" t="s">
        <v>438</v>
      </c>
      <c r="J36" t="s">
        <v>439</v>
      </c>
      <c r="K36" t="s">
        <v>440</v>
      </c>
      <c r="L36">
        <v>1339</v>
      </c>
      <c r="N36">
        <v>1007</v>
      </c>
      <c r="O36" t="s">
        <v>35</v>
      </c>
      <c r="P36" t="s">
        <v>35</v>
      </c>
      <c r="Q36">
        <v>1</v>
      </c>
      <c r="X36">
        <v>1</v>
      </c>
      <c r="Y36">
        <v>1241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 t="s">
        <v>3</v>
      </c>
      <c r="AG36">
        <v>1</v>
      </c>
      <c r="AH36">
        <v>2</v>
      </c>
      <c r="AI36">
        <v>38799961</v>
      </c>
      <c r="AJ36">
        <v>37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">
      <c r="A37">
        <f>ROW(Source!A80)</f>
        <v>80</v>
      </c>
      <c r="B37">
        <v>38799962</v>
      </c>
      <c r="C37">
        <v>38799765</v>
      </c>
      <c r="D37">
        <v>38451941</v>
      </c>
      <c r="E37">
        <v>27</v>
      </c>
      <c r="F37">
        <v>1</v>
      </c>
      <c r="G37">
        <v>27</v>
      </c>
      <c r="H37">
        <v>1</v>
      </c>
      <c r="I37" t="s">
        <v>387</v>
      </c>
      <c r="J37" t="s">
        <v>3</v>
      </c>
      <c r="K37" t="s">
        <v>388</v>
      </c>
      <c r="L37">
        <v>1191</v>
      </c>
      <c r="N37">
        <v>1013</v>
      </c>
      <c r="O37" t="s">
        <v>389</v>
      </c>
      <c r="P37" t="s">
        <v>389</v>
      </c>
      <c r="Q37">
        <v>1</v>
      </c>
      <c r="X37">
        <v>16.440000000000001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1</v>
      </c>
      <c r="AF37" t="s">
        <v>3</v>
      </c>
      <c r="AG37">
        <v>16.440000000000001</v>
      </c>
      <c r="AH37">
        <v>2</v>
      </c>
      <c r="AI37">
        <v>38799962</v>
      </c>
      <c r="AJ37">
        <v>38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">
      <c r="A38">
        <f>ROW(Source!A80)</f>
        <v>80</v>
      </c>
      <c r="B38">
        <v>38799963</v>
      </c>
      <c r="C38">
        <v>38799765</v>
      </c>
      <c r="D38">
        <v>38464567</v>
      </c>
      <c r="E38">
        <v>1</v>
      </c>
      <c r="F38">
        <v>1</v>
      </c>
      <c r="G38">
        <v>27</v>
      </c>
      <c r="H38">
        <v>2</v>
      </c>
      <c r="I38" t="s">
        <v>412</v>
      </c>
      <c r="J38" t="s">
        <v>413</v>
      </c>
      <c r="K38" t="s">
        <v>414</v>
      </c>
      <c r="L38">
        <v>1368</v>
      </c>
      <c r="N38">
        <v>1011</v>
      </c>
      <c r="O38" t="s">
        <v>393</v>
      </c>
      <c r="P38" t="s">
        <v>393</v>
      </c>
      <c r="Q38">
        <v>1</v>
      </c>
      <c r="X38">
        <v>0.55000000000000004</v>
      </c>
      <c r="Y38">
        <v>0</v>
      </c>
      <c r="Z38">
        <v>744.2</v>
      </c>
      <c r="AA38">
        <v>423.17</v>
      </c>
      <c r="AB38">
        <v>0</v>
      </c>
      <c r="AC38">
        <v>0</v>
      </c>
      <c r="AD38">
        <v>1</v>
      </c>
      <c r="AE38">
        <v>0</v>
      </c>
      <c r="AF38" t="s">
        <v>3</v>
      </c>
      <c r="AG38">
        <v>0.55000000000000004</v>
      </c>
      <c r="AH38">
        <v>2</v>
      </c>
      <c r="AI38">
        <v>38799963</v>
      </c>
      <c r="AJ38">
        <v>39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">
      <c r="A39">
        <f>ROW(Source!A80)</f>
        <v>80</v>
      </c>
      <c r="B39">
        <v>38799964</v>
      </c>
      <c r="C39">
        <v>38799765</v>
      </c>
      <c r="D39">
        <v>38464689</v>
      </c>
      <c r="E39">
        <v>1</v>
      </c>
      <c r="F39">
        <v>1</v>
      </c>
      <c r="G39">
        <v>27</v>
      </c>
      <c r="H39">
        <v>2</v>
      </c>
      <c r="I39" t="s">
        <v>441</v>
      </c>
      <c r="J39" t="s">
        <v>442</v>
      </c>
      <c r="K39" t="s">
        <v>443</v>
      </c>
      <c r="L39">
        <v>1368</v>
      </c>
      <c r="N39">
        <v>1011</v>
      </c>
      <c r="O39" t="s">
        <v>393</v>
      </c>
      <c r="P39" t="s">
        <v>393</v>
      </c>
      <c r="Q39">
        <v>1</v>
      </c>
      <c r="X39">
        <v>0.81</v>
      </c>
      <c r="Y39">
        <v>0</v>
      </c>
      <c r="Z39">
        <v>1977.07</v>
      </c>
      <c r="AA39">
        <v>1200.6500000000001</v>
      </c>
      <c r="AB39">
        <v>0</v>
      </c>
      <c r="AC39">
        <v>0</v>
      </c>
      <c r="AD39">
        <v>1</v>
      </c>
      <c r="AE39">
        <v>0</v>
      </c>
      <c r="AF39" t="s">
        <v>3</v>
      </c>
      <c r="AG39">
        <v>0.81</v>
      </c>
      <c r="AH39">
        <v>2</v>
      </c>
      <c r="AI39">
        <v>38799964</v>
      </c>
      <c r="AJ39">
        <v>40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">
      <c r="A40">
        <f>ROW(Source!A80)</f>
        <v>80</v>
      </c>
      <c r="B40">
        <v>38799965</v>
      </c>
      <c r="C40">
        <v>38799765</v>
      </c>
      <c r="D40">
        <v>38465034</v>
      </c>
      <c r="E40">
        <v>1</v>
      </c>
      <c r="F40">
        <v>1</v>
      </c>
      <c r="G40">
        <v>27</v>
      </c>
      <c r="H40">
        <v>2</v>
      </c>
      <c r="I40" t="s">
        <v>420</v>
      </c>
      <c r="J40" t="s">
        <v>421</v>
      </c>
      <c r="K40" t="s">
        <v>422</v>
      </c>
      <c r="L40">
        <v>1368</v>
      </c>
      <c r="N40">
        <v>1011</v>
      </c>
      <c r="O40" t="s">
        <v>393</v>
      </c>
      <c r="P40" t="s">
        <v>393</v>
      </c>
      <c r="Q40">
        <v>1</v>
      </c>
      <c r="X40">
        <v>1.08</v>
      </c>
      <c r="Y40">
        <v>0</v>
      </c>
      <c r="Z40">
        <v>3.75</v>
      </c>
      <c r="AA40">
        <v>2.56</v>
      </c>
      <c r="AB40">
        <v>0</v>
      </c>
      <c r="AC40">
        <v>0</v>
      </c>
      <c r="AD40">
        <v>1</v>
      </c>
      <c r="AE40">
        <v>0</v>
      </c>
      <c r="AF40" t="s">
        <v>3</v>
      </c>
      <c r="AG40">
        <v>1.08</v>
      </c>
      <c r="AH40">
        <v>2</v>
      </c>
      <c r="AI40">
        <v>38799965</v>
      </c>
      <c r="AJ40">
        <v>41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2">
      <c r="A41">
        <f>ROW(Source!A80)</f>
        <v>80</v>
      </c>
      <c r="B41">
        <v>38799966</v>
      </c>
      <c r="C41">
        <v>38799765</v>
      </c>
      <c r="D41">
        <v>38465228</v>
      </c>
      <c r="E41">
        <v>1</v>
      </c>
      <c r="F41">
        <v>1</v>
      </c>
      <c r="G41">
        <v>27</v>
      </c>
      <c r="H41">
        <v>3</v>
      </c>
      <c r="I41" t="s">
        <v>444</v>
      </c>
      <c r="J41" t="s">
        <v>445</v>
      </c>
      <c r="K41" t="s">
        <v>446</v>
      </c>
      <c r="L41">
        <v>1348</v>
      </c>
      <c r="N41">
        <v>1009</v>
      </c>
      <c r="O41" t="s">
        <v>155</v>
      </c>
      <c r="P41" t="s">
        <v>155</v>
      </c>
      <c r="Q41">
        <v>1000</v>
      </c>
      <c r="X41">
        <v>6.9000000000000006E-2</v>
      </c>
      <c r="Y41">
        <v>36258.75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 t="s">
        <v>3</v>
      </c>
      <c r="AG41">
        <v>6.9000000000000006E-2</v>
      </c>
      <c r="AH41">
        <v>2</v>
      </c>
      <c r="AI41">
        <v>38799966</v>
      </c>
      <c r="AJ41">
        <v>42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2">
      <c r="A42">
        <f>ROW(Source!A80)</f>
        <v>80</v>
      </c>
      <c r="B42">
        <v>38799967</v>
      </c>
      <c r="C42">
        <v>38799765</v>
      </c>
      <c r="D42">
        <v>38465769</v>
      </c>
      <c r="E42">
        <v>1</v>
      </c>
      <c r="F42">
        <v>1</v>
      </c>
      <c r="G42">
        <v>27</v>
      </c>
      <c r="H42">
        <v>3</v>
      </c>
      <c r="I42" t="s">
        <v>447</v>
      </c>
      <c r="J42" t="s">
        <v>448</v>
      </c>
      <c r="K42" t="s">
        <v>449</v>
      </c>
      <c r="L42">
        <v>1339</v>
      </c>
      <c r="N42">
        <v>1007</v>
      </c>
      <c r="O42" t="s">
        <v>35</v>
      </c>
      <c r="P42" t="s">
        <v>35</v>
      </c>
      <c r="Q42">
        <v>1</v>
      </c>
      <c r="X42">
        <v>0.01</v>
      </c>
      <c r="Y42">
        <v>7064.05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 t="s">
        <v>3</v>
      </c>
      <c r="AG42">
        <v>0.01</v>
      </c>
      <c r="AH42">
        <v>2</v>
      </c>
      <c r="AI42">
        <v>38799967</v>
      </c>
      <c r="AJ42">
        <v>43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">
      <c r="A43">
        <f>ROW(Source!A80)</f>
        <v>80</v>
      </c>
      <c r="B43">
        <v>38799968</v>
      </c>
      <c r="C43">
        <v>38799765</v>
      </c>
      <c r="D43">
        <v>38468294</v>
      </c>
      <c r="E43">
        <v>1</v>
      </c>
      <c r="F43">
        <v>1</v>
      </c>
      <c r="G43">
        <v>27</v>
      </c>
      <c r="H43">
        <v>3</v>
      </c>
      <c r="I43" t="s">
        <v>450</v>
      </c>
      <c r="J43" t="s">
        <v>451</v>
      </c>
      <c r="K43" t="s">
        <v>452</v>
      </c>
      <c r="L43">
        <v>1348</v>
      </c>
      <c r="N43">
        <v>1009</v>
      </c>
      <c r="O43" t="s">
        <v>155</v>
      </c>
      <c r="P43" t="s">
        <v>155</v>
      </c>
      <c r="Q43">
        <v>1000</v>
      </c>
      <c r="X43">
        <v>5.79</v>
      </c>
      <c r="Y43">
        <v>2562.79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 t="s">
        <v>3</v>
      </c>
      <c r="AG43">
        <v>5.79</v>
      </c>
      <c r="AH43">
        <v>2</v>
      </c>
      <c r="AI43">
        <v>38799968</v>
      </c>
      <c r="AJ43">
        <v>44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">
      <c r="A44">
        <f>ROW(Source!A81)</f>
        <v>81</v>
      </c>
      <c r="B44">
        <v>38799969</v>
      </c>
      <c r="C44">
        <v>38799780</v>
      </c>
      <c r="D44">
        <v>38451941</v>
      </c>
      <c r="E44">
        <v>27</v>
      </c>
      <c r="F44">
        <v>1</v>
      </c>
      <c r="G44">
        <v>27</v>
      </c>
      <c r="H44">
        <v>1</v>
      </c>
      <c r="I44" t="s">
        <v>387</v>
      </c>
      <c r="J44" t="s">
        <v>3</v>
      </c>
      <c r="K44" t="s">
        <v>388</v>
      </c>
      <c r="L44">
        <v>1191</v>
      </c>
      <c r="N44">
        <v>1013</v>
      </c>
      <c r="O44" t="s">
        <v>389</v>
      </c>
      <c r="P44" t="s">
        <v>389</v>
      </c>
      <c r="Q44">
        <v>1</v>
      </c>
      <c r="X44">
        <v>2.31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1</v>
      </c>
      <c r="AF44" t="s">
        <v>3</v>
      </c>
      <c r="AG44">
        <v>2.31</v>
      </c>
      <c r="AH44">
        <v>2</v>
      </c>
      <c r="AI44">
        <v>38799969</v>
      </c>
      <c r="AJ44">
        <v>45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">
      <c r="A45">
        <f>ROW(Source!A81)</f>
        <v>81</v>
      </c>
      <c r="B45">
        <v>38799970</v>
      </c>
      <c r="C45">
        <v>38799780</v>
      </c>
      <c r="D45">
        <v>38464567</v>
      </c>
      <c r="E45">
        <v>1</v>
      </c>
      <c r="F45">
        <v>1</v>
      </c>
      <c r="G45">
        <v>27</v>
      </c>
      <c r="H45">
        <v>2</v>
      </c>
      <c r="I45" t="s">
        <v>412</v>
      </c>
      <c r="J45" t="s">
        <v>413</v>
      </c>
      <c r="K45" t="s">
        <v>414</v>
      </c>
      <c r="L45">
        <v>1368</v>
      </c>
      <c r="N45">
        <v>1011</v>
      </c>
      <c r="O45" t="s">
        <v>393</v>
      </c>
      <c r="P45" t="s">
        <v>393</v>
      </c>
      <c r="Q45">
        <v>1</v>
      </c>
      <c r="X45">
        <v>0.14000000000000001</v>
      </c>
      <c r="Y45">
        <v>0</v>
      </c>
      <c r="Z45">
        <v>744.2</v>
      </c>
      <c r="AA45">
        <v>423.17</v>
      </c>
      <c r="AB45">
        <v>0</v>
      </c>
      <c r="AC45">
        <v>0</v>
      </c>
      <c r="AD45">
        <v>1</v>
      </c>
      <c r="AE45">
        <v>0</v>
      </c>
      <c r="AF45" t="s">
        <v>3</v>
      </c>
      <c r="AG45">
        <v>0.14000000000000001</v>
      </c>
      <c r="AH45">
        <v>2</v>
      </c>
      <c r="AI45">
        <v>38799970</v>
      </c>
      <c r="AJ45">
        <v>46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">
      <c r="A46">
        <f>ROW(Source!A81)</f>
        <v>81</v>
      </c>
      <c r="B46">
        <v>38799971</v>
      </c>
      <c r="C46">
        <v>38799780</v>
      </c>
      <c r="D46">
        <v>38465034</v>
      </c>
      <c r="E46">
        <v>1</v>
      </c>
      <c r="F46">
        <v>1</v>
      </c>
      <c r="G46">
        <v>27</v>
      </c>
      <c r="H46">
        <v>2</v>
      </c>
      <c r="I46" t="s">
        <v>420</v>
      </c>
      <c r="J46" t="s">
        <v>421</v>
      </c>
      <c r="K46" t="s">
        <v>422</v>
      </c>
      <c r="L46">
        <v>1368</v>
      </c>
      <c r="N46">
        <v>1011</v>
      </c>
      <c r="O46" t="s">
        <v>393</v>
      </c>
      <c r="P46" t="s">
        <v>393</v>
      </c>
      <c r="Q46">
        <v>1</v>
      </c>
      <c r="X46">
        <v>0.28000000000000003</v>
      </c>
      <c r="Y46">
        <v>0</v>
      </c>
      <c r="Z46">
        <v>3.75</v>
      </c>
      <c r="AA46">
        <v>2.56</v>
      </c>
      <c r="AB46">
        <v>0</v>
      </c>
      <c r="AC46">
        <v>0</v>
      </c>
      <c r="AD46">
        <v>1</v>
      </c>
      <c r="AE46">
        <v>0</v>
      </c>
      <c r="AF46" t="s">
        <v>3</v>
      </c>
      <c r="AG46">
        <v>0.28000000000000003</v>
      </c>
      <c r="AH46">
        <v>2</v>
      </c>
      <c r="AI46">
        <v>38799971</v>
      </c>
      <c r="AJ46">
        <v>47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">
      <c r="A47">
        <f>ROW(Source!A81)</f>
        <v>81</v>
      </c>
      <c r="B47">
        <v>38799972</v>
      </c>
      <c r="C47">
        <v>38799780</v>
      </c>
      <c r="D47">
        <v>38468294</v>
      </c>
      <c r="E47">
        <v>1</v>
      </c>
      <c r="F47">
        <v>1</v>
      </c>
      <c r="G47">
        <v>27</v>
      </c>
      <c r="H47">
        <v>3</v>
      </c>
      <c r="I47" t="s">
        <v>450</v>
      </c>
      <c r="J47" t="s">
        <v>451</v>
      </c>
      <c r="K47" t="s">
        <v>452</v>
      </c>
      <c r="L47">
        <v>1348</v>
      </c>
      <c r="N47">
        <v>1009</v>
      </c>
      <c r="O47" t="s">
        <v>155</v>
      </c>
      <c r="P47" t="s">
        <v>155</v>
      </c>
      <c r="Q47">
        <v>1000</v>
      </c>
      <c r="X47">
        <v>1.1599999999999999</v>
      </c>
      <c r="Y47">
        <v>2562.79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 t="s">
        <v>3</v>
      </c>
      <c r="AG47">
        <v>1.1599999999999999</v>
      </c>
      <c r="AH47">
        <v>2</v>
      </c>
      <c r="AI47">
        <v>38799972</v>
      </c>
      <c r="AJ47">
        <v>48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">
      <c r="A48">
        <f>ROW(Source!A82)</f>
        <v>82</v>
      </c>
      <c r="B48">
        <v>38799973</v>
      </c>
      <c r="C48">
        <v>38799789</v>
      </c>
      <c r="D48">
        <v>38451941</v>
      </c>
      <c r="E48">
        <v>27</v>
      </c>
      <c r="F48">
        <v>1</v>
      </c>
      <c r="G48">
        <v>27</v>
      </c>
      <c r="H48">
        <v>1</v>
      </c>
      <c r="I48" t="s">
        <v>387</v>
      </c>
      <c r="J48" t="s">
        <v>3</v>
      </c>
      <c r="K48" t="s">
        <v>388</v>
      </c>
      <c r="L48">
        <v>1191</v>
      </c>
      <c r="N48">
        <v>1013</v>
      </c>
      <c r="O48" t="s">
        <v>389</v>
      </c>
      <c r="P48" t="s">
        <v>389</v>
      </c>
      <c r="Q48">
        <v>1</v>
      </c>
      <c r="X48">
        <v>18.440000000000001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1</v>
      </c>
      <c r="AF48" t="s">
        <v>3</v>
      </c>
      <c r="AG48">
        <v>18.440000000000001</v>
      </c>
      <c r="AH48">
        <v>2</v>
      </c>
      <c r="AI48">
        <v>38799973</v>
      </c>
      <c r="AJ48">
        <v>49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">
      <c r="A49">
        <f>ROW(Source!A82)</f>
        <v>82</v>
      </c>
      <c r="B49">
        <v>38799974</v>
      </c>
      <c r="C49">
        <v>38799789</v>
      </c>
      <c r="D49">
        <v>38464899</v>
      </c>
      <c r="E49">
        <v>1</v>
      </c>
      <c r="F49">
        <v>1</v>
      </c>
      <c r="G49">
        <v>27</v>
      </c>
      <c r="H49">
        <v>2</v>
      </c>
      <c r="I49" t="s">
        <v>453</v>
      </c>
      <c r="J49" t="s">
        <v>454</v>
      </c>
      <c r="K49" t="s">
        <v>455</v>
      </c>
      <c r="L49">
        <v>1368</v>
      </c>
      <c r="N49">
        <v>1011</v>
      </c>
      <c r="O49" t="s">
        <v>393</v>
      </c>
      <c r="P49" t="s">
        <v>393</v>
      </c>
      <c r="Q49">
        <v>1</v>
      </c>
      <c r="X49">
        <v>2.64</v>
      </c>
      <c r="Y49">
        <v>0</v>
      </c>
      <c r="Z49">
        <v>531.41</v>
      </c>
      <c r="AA49">
        <v>373.56</v>
      </c>
      <c r="AB49">
        <v>0</v>
      </c>
      <c r="AC49">
        <v>0</v>
      </c>
      <c r="AD49">
        <v>1</v>
      </c>
      <c r="AE49">
        <v>0</v>
      </c>
      <c r="AF49" t="s">
        <v>3</v>
      </c>
      <c r="AG49">
        <v>2.64</v>
      </c>
      <c r="AH49">
        <v>2</v>
      </c>
      <c r="AI49">
        <v>38799974</v>
      </c>
      <c r="AJ49">
        <v>50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">
      <c r="A50">
        <f>ROW(Source!A82)</f>
        <v>82</v>
      </c>
      <c r="B50">
        <v>38799975</v>
      </c>
      <c r="C50">
        <v>38799789</v>
      </c>
      <c r="D50">
        <v>38465122</v>
      </c>
      <c r="E50">
        <v>1</v>
      </c>
      <c r="F50">
        <v>1</v>
      </c>
      <c r="G50">
        <v>27</v>
      </c>
      <c r="H50">
        <v>2</v>
      </c>
      <c r="I50" t="s">
        <v>456</v>
      </c>
      <c r="J50" t="s">
        <v>457</v>
      </c>
      <c r="K50" t="s">
        <v>458</v>
      </c>
      <c r="L50">
        <v>1368</v>
      </c>
      <c r="N50">
        <v>1011</v>
      </c>
      <c r="O50" t="s">
        <v>393</v>
      </c>
      <c r="P50" t="s">
        <v>393</v>
      </c>
      <c r="Q50">
        <v>1</v>
      </c>
      <c r="X50">
        <v>1.18</v>
      </c>
      <c r="Y50">
        <v>0</v>
      </c>
      <c r="Z50">
        <v>7.44</v>
      </c>
      <c r="AA50">
        <v>0.98</v>
      </c>
      <c r="AB50">
        <v>0</v>
      </c>
      <c r="AC50">
        <v>0</v>
      </c>
      <c r="AD50">
        <v>1</v>
      </c>
      <c r="AE50">
        <v>0</v>
      </c>
      <c r="AF50" t="s">
        <v>3</v>
      </c>
      <c r="AG50">
        <v>1.18</v>
      </c>
      <c r="AH50">
        <v>2</v>
      </c>
      <c r="AI50">
        <v>38799975</v>
      </c>
      <c r="AJ50">
        <v>51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">
      <c r="A51">
        <f>ROW(Source!A82)</f>
        <v>82</v>
      </c>
      <c r="B51">
        <v>38799976</v>
      </c>
      <c r="C51">
        <v>38799789</v>
      </c>
      <c r="D51">
        <v>38464324</v>
      </c>
      <c r="E51">
        <v>1</v>
      </c>
      <c r="F51">
        <v>1</v>
      </c>
      <c r="G51">
        <v>27</v>
      </c>
      <c r="H51">
        <v>2</v>
      </c>
      <c r="I51" t="s">
        <v>459</v>
      </c>
      <c r="J51" t="s">
        <v>460</v>
      </c>
      <c r="K51" t="s">
        <v>461</v>
      </c>
      <c r="L51">
        <v>1368</v>
      </c>
      <c r="N51">
        <v>1011</v>
      </c>
      <c r="O51" t="s">
        <v>393</v>
      </c>
      <c r="P51" t="s">
        <v>393</v>
      </c>
      <c r="Q51">
        <v>1</v>
      </c>
      <c r="X51">
        <v>0.01</v>
      </c>
      <c r="Y51">
        <v>0</v>
      </c>
      <c r="Z51">
        <v>616.73</v>
      </c>
      <c r="AA51">
        <v>511.29</v>
      </c>
      <c r="AB51">
        <v>0</v>
      </c>
      <c r="AC51">
        <v>0</v>
      </c>
      <c r="AD51">
        <v>1</v>
      </c>
      <c r="AE51">
        <v>0</v>
      </c>
      <c r="AF51" t="s">
        <v>3</v>
      </c>
      <c r="AG51">
        <v>0.01</v>
      </c>
      <c r="AH51">
        <v>2</v>
      </c>
      <c r="AI51">
        <v>38799976</v>
      </c>
      <c r="AJ51">
        <v>52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">
      <c r="A52">
        <f>ROW(Source!A82)</f>
        <v>82</v>
      </c>
      <c r="B52">
        <v>38799977</v>
      </c>
      <c r="C52">
        <v>38799789</v>
      </c>
      <c r="D52">
        <v>38464508</v>
      </c>
      <c r="E52">
        <v>1</v>
      </c>
      <c r="F52">
        <v>1</v>
      </c>
      <c r="G52">
        <v>27</v>
      </c>
      <c r="H52">
        <v>2</v>
      </c>
      <c r="I52" t="s">
        <v>462</v>
      </c>
      <c r="J52" t="s">
        <v>463</v>
      </c>
      <c r="K52" t="s">
        <v>464</v>
      </c>
      <c r="L52">
        <v>1368</v>
      </c>
      <c r="N52">
        <v>1011</v>
      </c>
      <c r="O52" t="s">
        <v>393</v>
      </c>
      <c r="P52" t="s">
        <v>393</v>
      </c>
      <c r="Q52">
        <v>1</v>
      </c>
      <c r="X52">
        <v>2.64</v>
      </c>
      <c r="Y52">
        <v>0</v>
      </c>
      <c r="Z52">
        <v>454.31</v>
      </c>
      <c r="AA52">
        <v>405.68</v>
      </c>
      <c r="AB52">
        <v>0</v>
      </c>
      <c r="AC52">
        <v>0</v>
      </c>
      <c r="AD52">
        <v>1</v>
      </c>
      <c r="AE52">
        <v>0</v>
      </c>
      <c r="AF52" t="s">
        <v>3</v>
      </c>
      <c r="AG52">
        <v>2.64</v>
      </c>
      <c r="AH52">
        <v>2</v>
      </c>
      <c r="AI52">
        <v>38799977</v>
      </c>
      <c r="AJ52">
        <v>53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">
      <c r="A53">
        <f>ROW(Source!A82)</f>
        <v>82</v>
      </c>
      <c r="B53">
        <v>38799978</v>
      </c>
      <c r="C53">
        <v>38799789</v>
      </c>
      <c r="D53">
        <v>38467332</v>
      </c>
      <c r="E53">
        <v>1</v>
      </c>
      <c r="F53">
        <v>1</v>
      </c>
      <c r="G53">
        <v>27</v>
      </c>
      <c r="H53">
        <v>3</v>
      </c>
      <c r="I53" t="s">
        <v>465</v>
      </c>
      <c r="J53" t="s">
        <v>466</v>
      </c>
      <c r="K53" t="s">
        <v>467</v>
      </c>
      <c r="L53">
        <v>1327</v>
      </c>
      <c r="N53">
        <v>1005</v>
      </c>
      <c r="O53" t="s">
        <v>289</v>
      </c>
      <c r="P53" t="s">
        <v>289</v>
      </c>
      <c r="Q53">
        <v>1</v>
      </c>
      <c r="X53">
        <v>5.6</v>
      </c>
      <c r="Y53">
        <v>12.02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 t="s">
        <v>3</v>
      </c>
      <c r="AG53">
        <v>5.6</v>
      </c>
      <c r="AH53">
        <v>2</v>
      </c>
      <c r="AI53">
        <v>38799978</v>
      </c>
      <c r="AJ53">
        <v>54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2">
      <c r="A54">
        <f>ROW(Source!A82)</f>
        <v>82</v>
      </c>
      <c r="B54">
        <v>38799979</v>
      </c>
      <c r="C54">
        <v>38799789</v>
      </c>
      <c r="D54">
        <v>38467419</v>
      </c>
      <c r="E54">
        <v>1</v>
      </c>
      <c r="F54">
        <v>1</v>
      </c>
      <c r="G54">
        <v>27</v>
      </c>
      <c r="H54">
        <v>3</v>
      </c>
      <c r="I54" t="s">
        <v>468</v>
      </c>
      <c r="J54" t="s">
        <v>469</v>
      </c>
      <c r="K54" t="s">
        <v>470</v>
      </c>
      <c r="L54">
        <v>1348</v>
      </c>
      <c r="N54">
        <v>1009</v>
      </c>
      <c r="O54" t="s">
        <v>155</v>
      </c>
      <c r="P54" t="s">
        <v>155</v>
      </c>
      <c r="Q54">
        <v>1000</v>
      </c>
      <c r="X54">
        <v>3.15E-3</v>
      </c>
      <c r="Y54">
        <v>343020.03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 t="s">
        <v>3</v>
      </c>
      <c r="AG54">
        <v>3.15E-3</v>
      </c>
      <c r="AH54">
        <v>2</v>
      </c>
      <c r="AI54">
        <v>38799979</v>
      </c>
      <c r="AJ54">
        <v>55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">
      <c r="A55">
        <f>ROW(Source!A82)</f>
        <v>82</v>
      </c>
      <c r="B55">
        <v>38799980</v>
      </c>
      <c r="C55">
        <v>38799789</v>
      </c>
      <c r="D55">
        <v>38467636</v>
      </c>
      <c r="E55">
        <v>1</v>
      </c>
      <c r="F55">
        <v>1</v>
      </c>
      <c r="G55">
        <v>27</v>
      </c>
      <c r="H55">
        <v>3</v>
      </c>
      <c r="I55" t="s">
        <v>471</v>
      </c>
      <c r="J55" t="s">
        <v>472</v>
      </c>
      <c r="K55" t="s">
        <v>473</v>
      </c>
      <c r="L55">
        <v>1346</v>
      </c>
      <c r="N55">
        <v>1009</v>
      </c>
      <c r="O55" t="s">
        <v>474</v>
      </c>
      <c r="P55" t="s">
        <v>474</v>
      </c>
      <c r="Q55">
        <v>1</v>
      </c>
      <c r="X55">
        <v>735</v>
      </c>
      <c r="Y55">
        <v>17.77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 t="s">
        <v>3</v>
      </c>
      <c r="AG55">
        <v>735</v>
      </c>
      <c r="AH55">
        <v>2</v>
      </c>
      <c r="AI55">
        <v>38799980</v>
      </c>
      <c r="AJ55">
        <v>56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">
      <c r="A56">
        <f>ROW(Source!A82)</f>
        <v>82</v>
      </c>
      <c r="B56">
        <v>38799981</v>
      </c>
      <c r="C56">
        <v>38799789</v>
      </c>
      <c r="D56">
        <v>38467643</v>
      </c>
      <c r="E56">
        <v>1</v>
      </c>
      <c r="F56">
        <v>1</v>
      </c>
      <c r="G56">
        <v>27</v>
      </c>
      <c r="H56">
        <v>3</v>
      </c>
      <c r="I56" t="s">
        <v>475</v>
      </c>
      <c r="J56" t="s">
        <v>476</v>
      </c>
      <c r="K56" t="s">
        <v>477</v>
      </c>
      <c r="L56">
        <v>1346</v>
      </c>
      <c r="N56">
        <v>1009</v>
      </c>
      <c r="O56" t="s">
        <v>474</v>
      </c>
      <c r="P56" t="s">
        <v>474</v>
      </c>
      <c r="Q56">
        <v>1</v>
      </c>
      <c r="X56">
        <v>241.5</v>
      </c>
      <c r="Y56">
        <v>202.34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 t="s">
        <v>3</v>
      </c>
      <c r="AG56">
        <v>241.5</v>
      </c>
      <c r="AH56">
        <v>2</v>
      </c>
      <c r="AI56">
        <v>38799981</v>
      </c>
      <c r="AJ56">
        <v>57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">
      <c r="A57">
        <f>ROW(Source!A82)</f>
        <v>82</v>
      </c>
      <c r="B57">
        <v>38799982</v>
      </c>
      <c r="C57">
        <v>38799789</v>
      </c>
      <c r="D57">
        <v>38465610</v>
      </c>
      <c r="E57">
        <v>1</v>
      </c>
      <c r="F57">
        <v>1</v>
      </c>
      <c r="G57">
        <v>27</v>
      </c>
      <c r="H57">
        <v>3</v>
      </c>
      <c r="I57" t="s">
        <v>478</v>
      </c>
      <c r="J57" t="s">
        <v>479</v>
      </c>
      <c r="K57" t="s">
        <v>480</v>
      </c>
      <c r="L57">
        <v>1348</v>
      </c>
      <c r="N57">
        <v>1009</v>
      </c>
      <c r="O57" t="s">
        <v>155</v>
      </c>
      <c r="P57" t="s">
        <v>155</v>
      </c>
      <c r="Q57">
        <v>1000</v>
      </c>
      <c r="X57">
        <v>5.2499999999999998E-2</v>
      </c>
      <c r="Y57">
        <v>748299.67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 t="s">
        <v>3</v>
      </c>
      <c r="AG57">
        <v>5.2499999999999998E-2</v>
      </c>
      <c r="AH57">
        <v>2</v>
      </c>
      <c r="AI57">
        <v>38799982</v>
      </c>
      <c r="AJ57">
        <v>58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">
      <c r="A58">
        <f>ROW(Source!A83)</f>
        <v>83</v>
      </c>
      <c r="B58">
        <v>38799983</v>
      </c>
      <c r="C58">
        <v>38799810</v>
      </c>
      <c r="D58">
        <v>38451941</v>
      </c>
      <c r="E58">
        <v>27</v>
      </c>
      <c r="F58">
        <v>1</v>
      </c>
      <c r="G58">
        <v>27</v>
      </c>
      <c r="H58">
        <v>1</v>
      </c>
      <c r="I58" t="s">
        <v>387</v>
      </c>
      <c r="J58" t="s">
        <v>3</v>
      </c>
      <c r="K58" t="s">
        <v>388</v>
      </c>
      <c r="L58">
        <v>1191</v>
      </c>
      <c r="N58">
        <v>1013</v>
      </c>
      <c r="O58" t="s">
        <v>389</v>
      </c>
      <c r="P58" t="s">
        <v>389</v>
      </c>
      <c r="Q58">
        <v>1</v>
      </c>
      <c r="X58">
        <v>582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1</v>
      </c>
      <c r="AF58" t="s">
        <v>3</v>
      </c>
      <c r="AG58">
        <v>582</v>
      </c>
      <c r="AH58">
        <v>2</v>
      </c>
      <c r="AI58">
        <v>38799983</v>
      </c>
      <c r="AJ58">
        <v>59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">
      <c r="A59">
        <f>ROW(Source!A84)</f>
        <v>84</v>
      </c>
      <c r="B59">
        <v>38799984</v>
      </c>
      <c r="C59">
        <v>38799813</v>
      </c>
      <c r="D59">
        <v>38451941</v>
      </c>
      <c r="E59">
        <v>27</v>
      </c>
      <c r="F59">
        <v>1</v>
      </c>
      <c r="G59">
        <v>27</v>
      </c>
      <c r="H59">
        <v>1</v>
      </c>
      <c r="I59" t="s">
        <v>387</v>
      </c>
      <c r="J59" t="s">
        <v>3</v>
      </c>
      <c r="K59" t="s">
        <v>388</v>
      </c>
      <c r="L59">
        <v>1191</v>
      </c>
      <c r="N59">
        <v>1013</v>
      </c>
      <c r="O59" t="s">
        <v>389</v>
      </c>
      <c r="P59" t="s">
        <v>389</v>
      </c>
      <c r="Q59">
        <v>1</v>
      </c>
      <c r="X59">
        <v>155.25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1</v>
      </c>
      <c r="AF59" t="s">
        <v>3</v>
      </c>
      <c r="AG59">
        <v>155.25</v>
      </c>
      <c r="AH59">
        <v>2</v>
      </c>
      <c r="AI59">
        <v>38799984</v>
      </c>
      <c r="AJ59">
        <v>60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">
      <c r="A60">
        <f>ROW(Source!A84)</f>
        <v>84</v>
      </c>
      <c r="B60">
        <v>38799985</v>
      </c>
      <c r="C60">
        <v>38799813</v>
      </c>
      <c r="D60">
        <v>38464496</v>
      </c>
      <c r="E60">
        <v>1</v>
      </c>
      <c r="F60">
        <v>1</v>
      </c>
      <c r="G60">
        <v>27</v>
      </c>
      <c r="H60">
        <v>2</v>
      </c>
      <c r="I60" t="s">
        <v>481</v>
      </c>
      <c r="J60" t="s">
        <v>482</v>
      </c>
      <c r="K60" t="s">
        <v>483</v>
      </c>
      <c r="L60">
        <v>1368</v>
      </c>
      <c r="N60">
        <v>1011</v>
      </c>
      <c r="O60" t="s">
        <v>393</v>
      </c>
      <c r="P60" t="s">
        <v>393</v>
      </c>
      <c r="Q60">
        <v>1</v>
      </c>
      <c r="X60">
        <v>7.41</v>
      </c>
      <c r="Y60">
        <v>0</v>
      </c>
      <c r="Z60">
        <v>3.84</v>
      </c>
      <c r="AA60">
        <v>0.01</v>
      </c>
      <c r="AB60">
        <v>0</v>
      </c>
      <c r="AC60">
        <v>0</v>
      </c>
      <c r="AD60">
        <v>1</v>
      </c>
      <c r="AE60">
        <v>0</v>
      </c>
      <c r="AF60" t="s">
        <v>3</v>
      </c>
      <c r="AG60">
        <v>7.41</v>
      </c>
      <c r="AH60">
        <v>2</v>
      </c>
      <c r="AI60">
        <v>38799985</v>
      </c>
      <c r="AJ60">
        <v>61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">
      <c r="A61">
        <f>ROW(Source!A84)</f>
        <v>84</v>
      </c>
      <c r="B61">
        <v>38799986</v>
      </c>
      <c r="C61">
        <v>38799813</v>
      </c>
      <c r="D61">
        <v>38466934</v>
      </c>
      <c r="E61">
        <v>1</v>
      </c>
      <c r="F61">
        <v>1</v>
      </c>
      <c r="G61">
        <v>27</v>
      </c>
      <c r="H61">
        <v>3</v>
      </c>
      <c r="I61" t="s">
        <v>484</v>
      </c>
      <c r="J61" t="s">
        <v>485</v>
      </c>
      <c r="K61" t="s">
        <v>486</v>
      </c>
      <c r="L61">
        <v>1327</v>
      </c>
      <c r="N61">
        <v>1005</v>
      </c>
      <c r="O61" t="s">
        <v>289</v>
      </c>
      <c r="P61" t="s">
        <v>289</v>
      </c>
      <c r="Q61">
        <v>1</v>
      </c>
      <c r="X61">
        <v>250</v>
      </c>
      <c r="Y61">
        <v>91.89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 t="s">
        <v>3</v>
      </c>
      <c r="AG61">
        <v>250</v>
      </c>
      <c r="AH61">
        <v>2</v>
      </c>
      <c r="AI61">
        <v>38799986</v>
      </c>
      <c r="AJ61">
        <v>62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">
      <c r="A62">
        <f>ROW(Source!A84)</f>
        <v>84</v>
      </c>
      <c r="B62">
        <v>38799987</v>
      </c>
      <c r="C62">
        <v>38799813</v>
      </c>
      <c r="D62">
        <v>38467111</v>
      </c>
      <c r="E62">
        <v>1</v>
      </c>
      <c r="F62">
        <v>1</v>
      </c>
      <c r="G62">
        <v>27</v>
      </c>
      <c r="H62">
        <v>3</v>
      </c>
      <c r="I62" t="s">
        <v>487</v>
      </c>
      <c r="J62" t="s">
        <v>488</v>
      </c>
      <c r="K62" t="s">
        <v>489</v>
      </c>
      <c r="L62">
        <v>1339</v>
      </c>
      <c r="N62">
        <v>1007</v>
      </c>
      <c r="O62" t="s">
        <v>35</v>
      </c>
      <c r="P62" t="s">
        <v>35</v>
      </c>
      <c r="Q62">
        <v>1</v>
      </c>
      <c r="X62">
        <v>1.75</v>
      </c>
      <c r="Y62">
        <v>35.25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 t="s">
        <v>3</v>
      </c>
      <c r="AG62">
        <v>1.75</v>
      </c>
      <c r="AH62">
        <v>2</v>
      </c>
      <c r="AI62">
        <v>38799987</v>
      </c>
      <c r="AJ62">
        <v>63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">
      <c r="A63">
        <f>ROW(Source!A84)</f>
        <v>84</v>
      </c>
      <c r="B63">
        <v>38799988</v>
      </c>
      <c r="C63">
        <v>38799813</v>
      </c>
      <c r="D63">
        <v>38468075</v>
      </c>
      <c r="E63">
        <v>1</v>
      </c>
      <c r="F63">
        <v>1</v>
      </c>
      <c r="G63">
        <v>27</v>
      </c>
      <c r="H63">
        <v>3</v>
      </c>
      <c r="I63" t="s">
        <v>490</v>
      </c>
      <c r="J63" t="s">
        <v>491</v>
      </c>
      <c r="K63" t="s">
        <v>492</v>
      </c>
      <c r="L63">
        <v>1339</v>
      </c>
      <c r="N63">
        <v>1007</v>
      </c>
      <c r="O63" t="s">
        <v>35</v>
      </c>
      <c r="P63" t="s">
        <v>35</v>
      </c>
      <c r="Q63">
        <v>1</v>
      </c>
      <c r="X63">
        <v>102</v>
      </c>
      <c r="Y63">
        <v>3247.23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 t="s">
        <v>3</v>
      </c>
      <c r="AG63">
        <v>102</v>
      </c>
      <c r="AH63">
        <v>2</v>
      </c>
      <c r="AI63">
        <v>38799988</v>
      </c>
      <c r="AJ63">
        <v>64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">
      <c r="A64">
        <f>ROW(Source!A85)</f>
        <v>85</v>
      </c>
      <c r="B64">
        <v>38799994</v>
      </c>
      <c r="C64">
        <v>38799833</v>
      </c>
      <c r="D64">
        <v>38451941</v>
      </c>
      <c r="E64">
        <v>27</v>
      </c>
      <c r="F64">
        <v>1</v>
      </c>
      <c r="G64">
        <v>27</v>
      </c>
      <c r="H64">
        <v>1</v>
      </c>
      <c r="I64" t="s">
        <v>387</v>
      </c>
      <c r="J64" t="s">
        <v>3</v>
      </c>
      <c r="K64" t="s">
        <v>388</v>
      </c>
      <c r="L64">
        <v>1191</v>
      </c>
      <c r="N64">
        <v>1013</v>
      </c>
      <c r="O64" t="s">
        <v>389</v>
      </c>
      <c r="P64" t="s">
        <v>389</v>
      </c>
      <c r="Q64">
        <v>1</v>
      </c>
      <c r="X64">
        <v>48.88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1</v>
      </c>
      <c r="AF64" t="s">
        <v>3</v>
      </c>
      <c r="AG64">
        <v>48.88</v>
      </c>
      <c r="AH64">
        <v>2</v>
      </c>
      <c r="AI64">
        <v>38799994</v>
      </c>
      <c r="AJ64">
        <v>65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">
      <c r="A65">
        <f>ROW(Source!A85)</f>
        <v>85</v>
      </c>
      <c r="B65">
        <v>38799995</v>
      </c>
      <c r="C65">
        <v>38799833</v>
      </c>
      <c r="D65">
        <v>38464664</v>
      </c>
      <c r="E65">
        <v>1</v>
      </c>
      <c r="F65">
        <v>1</v>
      </c>
      <c r="G65">
        <v>27</v>
      </c>
      <c r="H65">
        <v>2</v>
      </c>
      <c r="I65" t="s">
        <v>493</v>
      </c>
      <c r="J65" t="s">
        <v>494</v>
      </c>
      <c r="K65" t="s">
        <v>495</v>
      </c>
      <c r="L65">
        <v>1368</v>
      </c>
      <c r="N65">
        <v>1011</v>
      </c>
      <c r="O65" t="s">
        <v>393</v>
      </c>
      <c r="P65" t="s">
        <v>393</v>
      </c>
      <c r="Q65">
        <v>1</v>
      </c>
      <c r="X65">
        <v>10.11</v>
      </c>
      <c r="Y65">
        <v>0</v>
      </c>
      <c r="Z65">
        <v>27.21</v>
      </c>
      <c r="AA65">
        <v>0.13</v>
      </c>
      <c r="AB65">
        <v>0</v>
      </c>
      <c r="AC65">
        <v>0</v>
      </c>
      <c r="AD65">
        <v>1</v>
      </c>
      <c r="AE65">
        <v>0</v>
      </c>
      <c r="AF65" t="s">
        <v>3</v>
      </c>
      <c r="AG65">
        <v>10.11</v>
      </c>
      <c r="AH65">
        <v>2</v>
      </c>
      <c r="AI65">
        <v>38799995</v>
      </c>
      <c r="AJ65">
        <v>66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">
      <c r="A66">
        <f>ROW(Source!A85)</f>
        <v>85</v>
      </c>
      <c r="B66">
        <v>38799996</v>
      </c>
      <c r="C66">
        <v>38799833</v>
      </c>
      <c r="D66">
        <v>38467018</v>
      </c>
      <c r="E66">
        <v>1</v>
      </c>
      <c r="F66">
        <v>1</v>
      </c>
      <c r="G66">
        <v>27</v>
      </c>
      <c r="H66">
        <v>3</v>
      </c>
      <c r="I66" t="s">
        <v>496</v>
      </c>
      <c r="J66" t="s">
        <v>497</v>
      </c>
      <c r="K66" t="s">
        <v>498</v>
      </c>
      <c r="L66">
        <v>1348</v>
      </c>
      <c r="N66">
        <v>1009</v>
      </c>
      <c r="O66" t="s">
        <v>155</v>
      </c>
      <c r="P66" t="s">
        <v>155</v>
      </c>
      <c r="Q66">
        <v>1000</v>
      </c>
      <c r="X66">
        <v>7.0000000000000001E-3</v>
      </c>
      <c r="Y66">
        <v>110781.14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 t="s">
        <v>3</v>
      </c>
      <c r="AG66">
        <v>7.0000000000000001E-3</v>
      </c>
      <c r="AH66">
        <v>2</v>
      </c>
      <c r="AI66">
        <v>38799996</v>
      </c>
      <c r="AJ66">
        <v>68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">
      <c r="A67">
        <f>ROW(Source!A85)</f>
        <v>85</v>
      </c>
      <c r="B67">
        <v>38799997</v>
      </c>
      <c r="C67">
        <v>38799833</v>
      </c>
      <c r="D67">
        <v>38469099</v>
      </c>
      <c r="E67">
        <v>1</v>
      </c>
      <c r="F67">
        <v>1</v>
      </c>
      <c r="G67">
        <v>27</v>
      </c>
      <c r="H67">
        <v>3</v>
      </c>
      <c r="I67" t="s">
        <v>158</v>
      </c>
      <c r="J67" t="s">
        <v>160</v>
      </c>
      <c r="K67" t="s">
        <v>159</v>
      </c>
      <c r="L67">
        <v>1348</v>
      </c>
      <c r="N67">
        <v>1009</v>
      </c>
      <c r="O67" t="s">
        <v>155</v>
      </c>
      <c r="P67" t="s">
        <v>155</v>
      </c>
      <c r="Q67">
        <v>1000</v>
      </c>
      <c r="X67">
        <v>1</v>
      </c>
      <c r="Y67">
        <v>80328.740000000005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 t="s">
        <v>3</v>
      </c>
      <c r="AG67">
        <v>1</v>
      </c>
      <c r="AH67">
        <v>2</v>
      </c>
      <c r="AI67">
        <v>38799997</v>
      </c>
      <c r="AJ67">
        <v>69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">
      <c r="A68">
        <f>ROW(Source!A88)</f>
        <v>88</v>
      </c>
      <c r="B68">
        <v>38799998</v>
      </c>
      <c r="C68">
        <v>38799842</v>
      </c>
      <c r="D68">
        <v>38451941</v>
      </c>
      <c r="E68">
        <v>27</v>
      </c>
      <c r="F68">
        <v>1</v>
      </c>
      <c r="G68">
        <v>27</v>
      </c>
      <c r="H68">
        <v>1</v>
      </c>
      <c r="I68" t="s">
        <v>387</v>
      </c>
      <c r="J68" t="s">
        <v>3</v>
      </c>
      <c r="K68" t="s">
        <v>388</v>
      </c>
      <c r="L68">
        <v>1191</v>
      </c>
      <c r="N68">
        <v>1013</v>
      </c>
      <c r="O68" t="s">
        <v>389</v>
      </c>
      <c r="P68" t="s">
        <v>389</v>
      </c>
      <c r="Q68">
        <v>1</v>
      </c>
      <c r="X68">
        <v>126.5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1</v>
      </c>
      <c r="AF68" t="s">
        <v>3</v>
      </c>
      <c r="AG68">
        <v>126.5</v>
      </c>
      <c r="AH68">
        <v>2</v>
      </c>
      <c r="AI68">
        <v>38799998</v>
      </c>
      <c r="AJ68">
        <v>71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">
      <c r="A69">
        <f>ROW(Source!A88)</f>
        <v>88</v>
      </c>
      <c r="B69">
        <v>38799999</v>
      </c>
      <c r="C69">
        <v>38799842</v>
      </c>
      <c r="D69">
        <v>38464664</v>
      </c>
      <c r="E69">
        <v>1</v>
      </c>
      <c r="F69">
        <v>1</v>
      </c>
      <c r="G69">
        <v>27</v>
      </c>
      <c r="H69">
        <v>2</v>
      </c>
      <c r="I69" t="s">
        <v>493</v>
      </c>
      <c r="J69" t="s">
        <v>494</v>
      </c>
      <c r="K69" t="s">
        <v>495</v>
      </c>
      <c r="L69">
        <v>1368</v>
      </c>
      <c r="N69">
        <v>1011</v>
      </c>
      <c r="O69" t="s">
        <v>393</v>
      </c>
      <c r="P69" t="s">
        <v>393</v>
      </c>
      <c r="Q69">
        <v>1</v>
      </c>
      <c r="X69">
        <v>53.75</v>
      </c>
      <c r="Y69">
        <v>0</v>
      </c>
      <c r="Z69">
        <v>27.21</v>
      </c>
      <c r="AA69">
        <v>0.13</v>
      </c>
      <c r="AB69">
        <v>0</v>
      </c>
      <c r="AC69">
        <v>0</v>
      </c>
      <c r="AD69">
        <v>1</v>
      </c>
      <c r="AE69">
        <v>0</v>
      </c>
      <c r="AF69" t="s">
        <v>3</v>
      </c>
      <c r="AG69">
        <v>53.75</v>
      </c>
      <c r="AH69">
        <v>2</v>
      </c>
      <c r="AI69">
        <v>38799999</v>
      </c>
      <c r="AJ69">
        <v>72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">
      <c r="A70">
        <f>ROW(Source!A88)</f>
        <v>88</v>
      </c>
      <c r="B70">
        <v>38800000</v>
      </c>
      <c r="C70">
        <v>38799842</v>
      </c>
      <c r="D70">
        <v>38464666</v>
      </c>
      <c r="E70">
        <v>1</v>
      </c>
      <c r="F70">
        <v>1</v>
      </c>
      <c r="G70">
        <v>27</v>
      </c>
      <c r="H70">
        <v>2</v>
      </c>
      <c r="I70" t="s">
        <v>499</v>
      </c>
      <c r="J70" t="s">
        <v>500</v>
      </c>
      <c r="K70" t="s">
        <v>501</v>
      </c>
      <c r="L70">
        <v>1368</v>
      </c>
      <c r="N70">
        <v>1011</v>
      </c>
      <c r="O70" t="s">
        <v>393</v>
      </c>
      <c r="P70" t="s">
        <v>393</v>
      </c>
      <c r="Q70">
        <v>1</v>
      </c>
      <c r="X70">
        <v>1.1200000000000001</v>
      </c>
      <c r="Y70">
        <v>0</v>
      </c>
      <c r="Z70">
        <v>6.29</v>
      </c>
      <c r="AA70">
        <v>0.14000000000000001</v>
      </c>
      <c r="AB70">
        <v>0</v>
      </c>
      <c r="AC70">
        <v>0</v>
      </c>
      <c r="AD70">
        <v>1</v>
      </c>
      <c r="AE70">
        <v>0</v>
      </c>
      <c r="AF70" t="s">
        <v>3</v>
      </c>
      <c r="AG70">
        <v>1.1200000000000001</v>
      </c>
      <c r="AH70">
        <v>2</v>
      </c>
      <c r="AI70">
        <v>38800000</v>
      </c>
      <c r="AJ70">
        <v>73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">
      <c r="A71">
        <f>ROW(Source!A88)</f>
        <v>88</v>
      </c>
      <c r="B71">
        <v>38800001</v>
      </c>
      <c r="C71">
        <v>38799842</v>
      </c>
      <c r="D71">
        <v>38465122</v>
      </c>
      <c r="E71">
        <v>1</v>
      </c>
      <c r="F71">
        <v>1</v>
      </c>
      <c r="G71">
        <v>27</v>
      </c>
      <c r="H71">
        <v>2</v>
      </c>
      <c r="I71" t="s">
        <v>456</v>
      </c>
      <c r="J71" t="s">
        <v>457</v>
      </c>
      <c r="K71" t="s">
        <v>458</v>
      </c>
      <c r="L71">
        <v>1368</v>
      </c>
      <c r="N71">
        <v>1011</v>
      </c>
      <c r="O71" t="s">
        <v>393</v>
      </c>
      <c r="P71" t="s">
        <v>393</v>
      </c>
      <c r="Q71">
        <v>1</v>
      </c>
      <c r="X71">
        <v>0.38</v>
      </c>
      <c r="Y71">
        <v>0</v>
      </c>
      <c r="Z71">
        <v>7.44</v>
      </c>
      <c r="AA71">
        <v>0.98</v>
      </c>
      <c r="AB71">
        <v>0</v>
      </c>
      <c r="AC71">
        <v>0</v>
      </c>
      <c r="AD71">
        <v>1</v>
      </c>
      <c r="AE71">
        <v>0</v>
      </c>
      <c r="AF71" t="s">
        <v>3</v>
      </c>
      <c r="AG71">
        <v>0.38</v>
      </c>
      <c r="AH71">
        <v>2</v>
      </c>
      <c r="AI71">
        <v>38800001</v>
      </c>
      <c r="AJ71">
        <v>74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">
      <c r="A72">
        <f>ROW(Source!A88)</f>
        <v>88</v>
      </c>
      <c r="B72">
        <v>38800002</v>
      </c>
      <c r="C72">
        <v>38799842</v>
      </c>
      <c r="D72">
        <v>38465050</v>
      </c>
      <c r="E72">
        <v>1</v>
      </c>
      <c r="F72">
        <v>1</v>
      </c>
      <c r="G72">
        <v>27</v>
      </c>
      <c r="H72">
        <v>2</v>
      </c>
      <c r="I72" t="s">
        <v>502</v>
      </c>
      <c r="J72" t="s">
        <v>503</v>
      </c>
      <c r="K72" t="s">
        <v>504</v>
      </c>
      <c r="L72">
        <v>1368</v>
      </c>
      <c r="N72">
        <v>1011</v>
      </c>
      <c r="O72" t="s">
        <v>393</v>
      </c>
      <c r="P72" t="s">
        <v>393</v>
      </c>
      <c r="Q72">
        <v>1</v>
      </c>
      <c r="X72">
        <v>0.5</v>
      </c>
      <c r="Y72">
        <v>0</v>
      </c>
      <c r="Z72">
        <v>5.94</v>
      </c>
      <c r="AA72">
        <v>0.02</v>
      </c>
      <c r="AB72">
        <v>0</v>
      </c>
      <c r="AC72">
        <v>0</v>
      </c>
      <c r="AD72">
        <v>1</v>
      </c>
      <c r="AE72">
        <v>0</v>
      </c>
      <c r="AF72" t="s">
        <v>3</v>
      </c>
      <c r="AG72">
        <v>0.5</v>
      </c>
      <c r="AH72">
        <v>2</v>
      </c>
      <c r="AI72">
        <v>38800002</v>
      </c>
      <c r="AJ72">
        <v>75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">
      <c r="A73">
        <f>ROW(Source!A88)</f>
        <v>88</v>
      </c>
      <c r="B73">
        <v>38800003</v>
      </c>
      <c r="C73">
        <v>38799842</v>
      </c>
      <c r="D73">
        <v>38465068</v>
      </c>
      <c r="E73">
        <v>1</v>
      </c>
      <c r="F73">
        <v>1</v>
      </c>
      <c r="G73">
        <v>27</v>
      </c>
      <c r="H73">
        <v>2</v>
      </c>
      <c r="I73" t="s">
        <v>505</v>
      </c>
      <c r="J73" t="s">
        <v>506</v>
      </c>
      <c r="K73" t="s">
        <v>507</v>
      </c>
      <c r="L73">
        <v>1368</v>
      </c>
      <c r="N73">
        <v>1011</v>
      </c>
      <c r="O73" t="s">
        <v>393</v>
      </c>
      <c r="P73" t="s">
        <v>393</v>
      </c>
      <c r="Q73">
        <v>1</v>
      </c>
      <c r="X73">
        <v>3</v>
      </c>
      <c r="Y73">
        <v>0</v>
      </c>
      <c r="Z73">
        <v>11.26</v>
      </c>
      <c r="AA73">
        <v>5.26</v>
      </c>
      <c r="AB73">
        <v>0</v>
      </c>
      <c r="AC73">
        <v>0</v>
      </c>
      <c r="AD73">
        <v>1</v>
      </c>
      <c r="AE73">
        <v>0</v>
      </c>
      <c r="AF73" t="s">
        <v>3</v>
      </c>
      <c r="AG73">
        <v>3</v>
      </c>
      <c r="AH73">
        <v>2</v>
      </c>
      <c r="AI73">
        <v>38800003</v>
      </c>
      <c r="AJ73">
        <v>76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">
      <c r="A74">
        <f>ROW(Source!A88)</f>
        <v>88</v>
      </c>
      <c r="B74">
        <v>38800004</v>
      </c>
      <c r="C74">
        <v>38799842</v>
      </c>
      <c r="D74">
        <v>38465091</v>
      </c>
      <c r="E74">
        <v>1</v>
      </c>
      <c r="F74">
        <v>1</v>
      </c>
      <c r="G74">
        <v>27</v>
      </c>
      <c r="H74">
        <v>2</v>
      </c>
      <c r="I74" t="s">
        <v>508</v>
      </c>
      <c r="J74" t="s">
        <v>509</v>
      </c>
      <c r="K74" t="s">
        <v>510</v>
      </c>
      <c r="L74">
        <v>1368</v>
      </c>
      <c r="N74">
        <v>1011</v>
      </c>
      <c r="O74" t="s">
        <v>393</v>
      </c>
      <c r="P74" t="s">
        <v>393</v>
      </c>
      <c r="Q74">
        <v>1</v>
      </c>
      <c r="X74">
        <v>1</v>
      </c>
      <c r="Y74">
        <v>0</v>
      </c>
      <c r="Z74">
        <v>364.4</v>
      </c>
      <c r="AA74">
        <v>325.58</v>
      </c>
      <c r="AB74">
        <v>0</v>
      </c>
      <c r="AC74">
        <v>0</v>
      </c>
      <c r="AD74">
        <v>1</v>
      </c>
      <c r="AE74">
        <v>0</v>
      </c>
      <c r="AF74" t="s">
        <v>3</v>
      </c>
      <c r="AG74">
        <v>1</v>
      </c>
      <c r="AH74">
        <v>2</v>
      </c>
      <c r="AI74">
        <v>38800004</v>
      </c>
      <c r="AJ74">
        <v>77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">
      <c r="A75">
        <f>ROW(Source!A88)</f>
        <v>88</v>
      </c>
      <c r="B75">
        <v>38800005</v>
      </c>
      <c r="C75">
        <v>38799842</v>
      </c>
      <c r="D75">
        <v>38467018</v>
      </c>
      <c r="E75">
        <v>1</v>
      </c>
      <c r="F75">
        <v>1</v>
      </c>
      <c r="G75">
        <v>27</v>
      </c>
      <c r="H75">
        <v>3</v>
      </c>
      <c r="I75" t="s">
        <v>496</v>
      </c>
      <c r="J75" t="s">
        <v>497</v>
      </c>
      <c r="K75" t="s">
        <v>498</v>
      </c>
      <c r="L75">
        <v>1348</v>
      </c>
      <c r="N75">
        <v>1009</v>
      </c>
      <c r="O75" t="s">
        <v>155</v>
      </c>
      <c r="P75" t="s">
        <v>155</v>
      </c>
      <c r="Q75">
        <v>1000</v>
      </c>
      <c r="X75">
        <v>1.9E-2</v>
      </c>
      <c r="Y75">
        <v>110781.14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  <c r="AF75" t="s">
        <v>3</v>
      </c>
      <c r="AG75">
        <v>1.9E-2</v>
      </c>
      <c r="AH75">
        <v>2</v>
      </c>
      <c r="AI75">
        <v>38800005</v>
      </c>
      <c r="AJ75">
        <v>78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A76">
        <f>ROW(Source!A88)</f>
        <v>88</v>
      </c>
      <c r="B76">
        <v>38800006</v>
      </c>
      <c r="C76">
        <v>38799842</v>
      </c>
      <c r="D76">
        <v>38465401</v>
      </c>
      <c r="E76">
        <v>1</v>
      </c>
      <c r="F76">
        <v>1</v>
      </c>
      <c r="G76">
        <v>27</v>
      </c>
      <c r="H76">
        <v>3</v>
      </c>
      <c r="I76" t="s">
        <v>511</v>
      </c>
      <c r="J76" t="s">
        <v>512</v>
      </c>
      <c r="K76" t="s">
        <v>513</v>
      </c>
      <c r="L76">
        <v>1339</v>
      </c>
      <c r="N76">
        <v>1007</v>
      </c>
      <c r="O76" t="s">
        <v>35</v>
      </c>
      <c r="P76" t="s">
        <v>35</v>
      </c>
      <c r="Q76">
        <v>1</v>
      </c>
      <c r="X76">
        <v>0.6</v>
      </c>
      <c r="Y76">
        <v>53.38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 t="s">
        <v>3</v>
      </c>
      <c r="AG76">
        <v>0.6</v>
      </c>
      <c r="AH76">
        <v>2</v>
      </c>
      <c r="AI76">
        <v>38800006</v>
      </c>
      <c r="AJ76">
        <v>79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A77">
        <f>ROW(Source!A88)</f>
        <v>88</v>
      </c>
      <c r="B77">
        <v>38800007</v>
      </c>
      <c r="C77">
        <v>38799842</v>
      </c>
      <c r="D77">
        <v>38465422</v>
      </c>
      <c r="E77">
        <v>1</v>
      </c>
      <c r="F77">
        <v>1</v>
      </c>
      <c r="G77">
        <v>27</v>
      </c>
      <c r="H77">
        <v>3</v>
      </c>
      <c r="I77" t="s">
        <v>514</v>
      </c>
      <c r="J77" t="s">
        <v>515</v>
      </c>
      <c r="K77" t="s">
        <v>516</v>
      </c>
      <c r="L77">
        <v>1339</v>
      </c>
      <c r="N77">
        <v>1007</v>
      </c>
      <c r="O77" t="s">
        <v>35</v>
      </c>
      <c r="P77" t="s">
        <v>35</v>
      </c>
      <c r="Q77">
        <v>1</v>
      </c>
      <c r="X77">
        <v>0.2</v>
      </c>
      <c r="Y77">
        <v>32.520000000000003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 t="s">
        <v>3</v>
      </c>
      <c r="AG77">
        <v>0.2</v>
      </c>
      <c r="AH77">
        <v>2</v>
      </c>
      <c r="AI77">
        <v>38800007</v>
      </c>
      <c r="AJ77">
        <v>80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">
      <c r="A78">
        <f>ROW(Source!A88)</f>
        <v>88</v>
      </c>
      <c r="B78">
        <v>38800008</v>
      </c>
      <c r="C78">
        <v>38799842</v>
      </c>
      <c r="D78">
        <v>38468341</v>
      </c>
      <c r="E78">
        <v>1</v>
      </c>
      <c r="F78">
        <v>1</v>
      </c>
      <c r="G78">
        <v>27</v>
      </c>
      <c r="H78">
        <v>3</v>
      </c>
      <c r="I78" t="s">
        <v>517</v>
      </c>
      <c r="J78" t="s">
        <v>518</v>
      </c>
      <c r="K78" t="s">
        <v>519</v>
      </c>
      <c r="L78">
        <v>1348</v>
      </c>
      <c r="N78">
        <v>1009</v>
      </c>
      <c r="O78" t="s">
        <v>155</v>
      </c>
      <c r="P78" t="s">
        <v>155</v>
      </c>
      <c r="Q78">
        <v>1000</v>
      </c>
      <c r="X78">
        <v>1.06</v>
      </c>
      <c r="Y78">
        <v>35483.61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 t="s">
        <v>3</v>
      </c>
      <c r="AG78">
        <v>1.06</v>
      </c>
      <c r="AH78">
        <v>2</v>
      </c>
      <c r="AI78">
        <v>38800008</v>
      </c>
      <c r="AJ78">
        <v>81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A79">
        <f>ROW(Source!A89)</f>
        <v>89</v>
      </c>
      <c r="B79">
        <v>38800009</v>
      </c>
      <c r="C79">
        <v>38799865</v>
      </c>
      <c r="D79">
        <v>38451941</v>
      </c>
      <c r="E79">
        <v>27</v>
      </c>
      <c r="F79">
        <v>1</v>
      </c>
      <c r="G79">
        <v>27</v>
      </c>
      <c r="H79">
        <v>1</v>
      </c>
      <c r="I79" t="s">
        <v>387</v>
      </c>
      <c r="J79" t="s">
        <v>3</v>
      </c>
      <c r="K79" t="s">
        <v>388</v>
      </c>
      <c r="L79">
        <v>1191</v>
      </c>
      <c r="N79">
        <v>1013</v>
      </c>
      <c r="O79" t="s">
        <v>389</v>
      </c>
      <c r="P79" t="s">
        <v>389</v>
      </c>
      <c r="Q79">
        <v>1</v>
      </c>
      <c r="X79">
        <v>87.4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1</v>
      </c>
      <c r="AF79" t="s">
        <v>3</v>
      </c>
      <c r="AG79">
        <v>87.4</v>
      </c>
      <c r="AH79">
        <v>2</v>
      </c>
      <c r="AI79">
        <v>38800009</v>
      </c>
      <c r="AJ79">
        <v>82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A80">
        <f>ROW(Source!A89)</f>
        <v>89</v>
      </c>
      <c r="B80">
        <v>38800010</v>
      </c>
      <c r="C80">
        <v>38799865</v>
      </c>
      <c r="D80">
        <v>38464342</v>
      </c>
      <c r="E80">
        <v>1</v>
      </c>
      <c r="F80">
        <v>1</v>
      </c>
      <c r="G80">
        <v>27</v>
      </c>
      <c r="H80">
        <v>2</v>
      </c>
      <c r="I80" t="s">
        <v>520</v>
      </c>
      <c r="J80" t="s">
        <v>521</v>
      </c>
      <c r="K80" t="s">
        <v>522</v>
      </c>
      <c r="L80">
        <v>1368</v>
      </c>
      <c r="N80">
        <v>1011</v>
      </c>
      <c r="O80" t="s">
        <v>393</v>
      </c>
      <c r="P80" t="s">
        <v>393</v>
      </c>
      <c r="Q80">
        <v>1</v>
      </c>
      <c r="X80">
        <v>19</v>
      </c>
      <c r="Y80">
        <v>0</v>
      </c>
      <c r="Z80">
        <v>31</v>
      </c>
      <c r="AA80">
        <v>1.35</v>
      </c>
      <c r="AB80">
        <v>0</v>
      </c>
      <c r="AC80">
        <v>0</v>
      </c>
      <c r="AD80">
        <v>1</v>
      </c>
      <c r="AE80">
        <v>0</v>
      </c>
      <c r="AF80" t="s">
        <v>3</v>
      </c>
      <c r="AG80">
        <v>19</v>
      </c>
      <c r="AH80">
        <v>2</v>
      </c>
      <c r="AI80">
        <v>38800010</v>
      </c>
      <c r="AJ80">
        <v>83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">
      <c r="A81">
        <f>ROW(Source!A89)</f>
        <v>89</v>
      </c>
      <c r="B81">
        <v>38800011</v>
      </c>
      <c r="C81">
        <v>38799865</v>
      </c>
      <c r="D81">
        <v>38466161</v>
      </c>
      <c r="E81">
        <v>1</v>
      </c>
      <c r="F81">
        <v>1</v>
      </c>
      <c r="G81">
        <v>27</v>
      </c>
      <c r="H81">
        <v>3</v>
      </c>
      <c r="I81" t="s">
        <v>523</v>
      </c>
      <c r="J81" t="s">
        <v>524</v>
      </c>
      <c r="K81" t="s">
        <v>525</v>
      </c>
      <c r="L81">
        <v>1348</v>
      </c>
      <c r="N81">
        <v>1009</v>
      </c>
      <c r="O81" t="s">
        <v>155</v>
      </c>
      <c r="P81" t="s">
        <v>155</v>
      </c>
      <c r="Q81">
        <v>1000</v>
      </c>
      <c r="X81">
        <v>3.3E-3</v>
      </c>
      <c r="Y81">
        <v>105084.63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 t="s">
        <v>3</v>
      </c>
      <c r="AG81">
        <v>3.3E-3</v>
      </c>
      <c r="AH81">
        <v>2</v>
      </c>
      <c r="AI81">
        <v>38800011</v>
      </c>
      <c r="AJ81">
        <v>84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">
      <c r="A82">
        <f>ROW(Source!A89)</f>
        <v>89</v>
      </c>
      <c r="B82">
        <v>38800012</v>
      </c>
      <c r="C82">
        <v>38799865</v>
      </c>
      <c r="D82">
        <v>38467018</v>
      </c>
      <c r="E82">
        <v>1</v>
      </c>
      <c r="F82">
        <v>1</v>
      </c>
      <c r="G82">
        <v>27</v>
      </c>
      <c r="H82">
        <v>3</v>
      </c>
      <c r="I82" t="s">
        <v>496</v>
      </c>
      <c r="J82" t="s">
        <v>497</v>
      </c>
      <c r="K82" t="s">
        <v>498</v>
      </c>
      <c r="L82">
        <v>1348</v>
      </c>
      <c r="N82">
        <v>1009</v>
      </c>
      <c r="O82" t="s">
        <v>155</v>
      </c>
      <c r="P82" t="s">
        <v>155</v>
      </c>
      <c r="Q82">
        <v>1000</v>
      </c>
      <c r="X82">
        <v>1.4E-3</v>
      </c>
      <c r="Y82">
        <v>110781.14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 t="s">
        <v>3</v>
      </c>
      <c r="AG82">
        <v>1.4E-3</v>
      </c>
      <c r="AH82">
        <v>2</v>
      </c>
      <c r="AI82">
        <v>38800012</v>
      </c>
      <c r="AJ82">
        <v>85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2">
      <c r="A83">
        <f>ROW(Source!A89)</f>
        <v>89</v>
      </c>
      <c r="B83">
        <v>38800013</v>
      </c>
      <c r="C83">
        <v>38799865</v>
      </c>
      <c r="D83">
        <v>38469133</v>
      </c>
      <c r="E83">
        <v>1</v>
      </c>
      <c r="F83">
        <v>1</v>
      </c>
      <c r="G83">
        <v>27</v>
      </c>
      <c r="H83">
        <v>3</v>
      </c>
      <c r="I83" t="s">
        <v>526</v>
      </c>
      <c r="J83" t="s">
        <v>527</v>
      </c>
      <c r="K83" t="s">
        <v>528</v>
      </c>
      <c r="L83">
        <v>1348</v>
      </c>
      <c r="N83">
        <v>1009</v>
      </c>
      <c r="O83" t="s">
        <v>155</v>
      </c>
      <c r="P83" t="s">
        <v>155</v>
      </c>
      <c r="Q83">
        <v>1000</v>
      </c>
      <c r="X83">
        <v>1</v>
      </c>
      <c r="Y83">
        <v>75026.559999999998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 t="s">
        <v>3</v>
      </c>
      <c r="AG83">
        <v>1</v>
      </c>
      <c r="AH83">
        <v>2</v>
      </c>
      <c r="AI83">
        <v>38800013</v>
      </c>
      <c r="AJ83">
        <v>86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">
      <c r="A84">
        <f>ROW(Source!A90)</f>
        <v>90</v>
      </c>
      <c r="B84">
        <v>38800014</v>
      </c>
      <c r="C84">
        <v>38799876</v>
      </c>
      <c r="D84">
        <v>38451941</v>
      </c>
      <c r="E84">
        <v>27</v>
      </c>
      <c r="F84">
        <v>1</v>
      </c>
      <c r="G84">
        <v>27</v>
      </c>
      <c r="H84">
        <v>1</v>
      </c>
      <c r="I84" t="s">
        <v>387</v>
      </c>
      <c r="J84" t="s">
        <v>3</v>
      </c>
      <c r="K84" t="s">
        <v>388</v>
      </c>
      <c r="L84">
        <v>1191</v>
      </c>
      <c r="N84">
        <v>1013</v>
      </c>
      <c r="O84" t="s">
        <v>389</v>
      </c>
      <c r="P84" t="s">
        <v>389</v>
      </c>
      <c r="Q84">
        <v>1</v>
      </c>
      <c r="X84">
        <v>74.290000000000006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1</v>
      </c>
      <c r="AF84" t="s">
        <v>3</v>
      </c>
      <c r="AG84">
        <v>74.290000000000006</v>
      </c>
      <c r="AH84">
        <v>2</v>
      </c>
      <c r="AI84">
        <v>38800014</v>
      </c>
      <c r="AJ84">
        <v>87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">
      <c r="A85">
        <f>ROW(Source!A90)</f>
        <v>90</v>
      </c>
      <c r="B85">
        <v>38800015</v>
      </c>
      <c r="C85">
        <v>38799876</v>
      </c>
      <c r="D85">
        <v>38465559</v>
      </c>
      <c r="E85">
        <v>1</v>
      </c>
      <c r="F85">
        <v>1</v>
      </c>
      <c r="G85">
        <v>27</v>
      </c>
      <c r="H85">
        <v>3</v>
      </c>
      <c r="I85" t="s">
        <v>529</v>
      </c>
      <c r="J85" t="s">
        <v>530</v>
      </c>
      <c r="K85" t="s">
        <v>531</v>
      </c>
      <c r="L85">
        <v>1348</v>
      </c>
      <c r="N85">
        <v>1009</v>
      </c>
      <c r="O85" t="s">
        <v>155</v>
      </c>
      <c r="P85" t="s">
        <v>155</v>
      </c>
      <c r="Q85">
        <v>1000</v>
      </c>
      <c r="X85">
        <v>2.46E-2</v>
      </c>
      <c r="Y85">
        <v>81012.06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 t="s">
        <v>3</v>
      </c>
      <c r="AG85">
        <v>2.46E-2</v>
      </c>
      <c r="AH85">
        <v>2</v>
      </c>
      <c r="AI85">
        <v>38800015</v>
      </c>
      <c r="AJ85">
        <v>88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">
      <c r="A86">
        <f>ROW(Source!A90)</f>
        <v>90</v>
      </c>
      <c r="B86">
        <v>38800016</v>
      </c>
      <c r="C86">
        <v>38799876</v>
      </c>
      <c r="D86">
        <v>38465600</v>
      </c>
      <c r="E86">
        <v>1</v>
      </c>
      <c r="F86">
        <v>1</v>
      </c>
      <c r="G86">
        <v>27</v>
      </c>
      <c r="H86">
        <v>3</v>
      </c>
      <c r="I86" t="s">
        <v>532</v>
      </c>
      <c r="J86" t="s">
        <v>533</v>
      </c>
      <c r="K86" t="s">
        <v>534</v>
      </c>
      <c r="L86">
        <v>1346</v>
      </c>
      <c r="N86">
        <v>1009</v>
      </c>
      <c r="O86" t="s">
        <v>474</v>
      </c>
      <c r="P86" t="s">
        <v>474</v>
      </c>
      <c r="Q86">
        <v>1</v>
      </c>
      <c r="X86">
        <v>2.7</v>
      </c>
      <c r="Y86">
        <v>78.180000000000007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 t="s">
        <v>3</v>
      </c>
      <c r="AG86">
        <v>2.7</v>
      </c>
      <c r="AH86">
        <v>2</v>
      </c>
      <c r="AI86">
        <v>38800016</v>
      </c>
      <c r="AJ86">
        <v>89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">
      <c r="A87">
        <f>ROW(Source!A91)</f>
        <v>91</v>
      </c>
      <c r="B87">
        <v>38800017</v>
      </c>
      <c r="C87">
        <v>38799883</v>
      </c>
      <c r="D87">
        <v>38451941</v>
      </c>
      <c r="E87">
        <v>27</v>
      </c>
      <c r="F87">
        <v>1</v>
      </c>
      <c r="G87">
        <v>27</v>
      </c>
      <c r="H87">
        <v>1</v>
      </c>
      <c r="I87" t="s">
        <v>387</v>
      </c>
      <c r="J87" t="s">
        <v>3</v>
      </c>
      <c r="K87" t="s">
        <v>388</v>
      </c>
      <c r="L87">
        <v>1191</v>
      </c>
      <c r="N87">
        <v>1013</v>
      </c>
      <c r="O87" t="s">
        <v>389</v>
      </c>
      <c r="P87" t="s">
        <v>389</v>
      </c>
      <c r="Q87">
        <v>1</v>
      </c>
      <c r="X87">
        <v>91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1</v>
      </c>
      <c r="AF87" t="s">
        <v>3</v>
      </c>
      <c r="AG87">
        <v>91</v>
      </c>
      <c r="AH87">
        <v>2</v>
      </c>
      <c r="AI87">
        <v>38800017</v>
      </c>
      <c r="AJ87">
        <v>90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">
      <c r="A88">
        <f>ROW(Source!A91)</f>
        <v>91</v>
      </c>
      <c r="B88">
        <v>38800018</v>
      </c>
      <c r="C88">
        <v>38799883</v>
      </c>
      <c r="D88">
        <v>38465122</v>
      </c>
      <c r="E88">
        <v>1</v>
      </c>
      <c r="F88">
        <v>1</v>
      </c>
      <c r="G88">
        <v>27</v>
      </c>
      <c r="H88">
        <v>2</v>
      </c>
      <c r="I88" t="s">
        <v>456</v>
      </c>
      <c r="J88" t="s">
        <v>457</v>
      </c>
      <c r="K88" t="s">
        <v>458</v>
      </c>
      <c r="L88">
        <v>1368</v>
      </c>
      <c r="N88">
        <v>1011</v>
      </c>
      <c r="O88" t="s">
        <v>393</v>
      </c>
      <c r="P88" t="s">
        <v>393</v>
      </c>
      <c r="Q88">
        <v>1</v>
      </c>
      <c r="X88">
        <v>11.96</v>
      </c>
      <c r="Y88">
        <v>0</v>
      </c>
      <c r="Z88">
        <v>7.44</v>
      </c>
      <c r="AA88">
        <v>0.98</v>
      </c>
      <c r="AB88">
        <v>0</v>
      </c>
      <c r="AC88">
        <v>0</v>
      </c>
      <c r="AD88">
        <v>1</v>
      </c>
      <c r="AE88">
        <v>0</v>
      </c>
      <c r="AF88" t="s">
        <v>3</v>
      </c>
      <c r="AG88">
        <v>11.96</v>
      </c>
      <c r="AH88">
        <v>2</v>
      </c>
      <c r="AI88">
        <v>38800018</v>
      </c>
      <c r="AJ88">
        <v>91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2">
      <c r="A89">
        <f>ROW(Source!A91)</f>
        <v>91</v>
      </c>
      <c r="B89">
        <v>38800019</v>
      </c>
      <c r="C89">
        <v>38799883</v>
      </c>
      <c r="D89">
        <v>38465064</v>
      </c>
      <c r="E89">
        <v>1</v>
      </c>
      <c r="F89">
        <v>1</v>
      </c>
      <c r="G89">
        <v>27</v>
      </c>
      <c r="H89">
        <v>2</v>
      </c>
      <c r="I89" t="s">
        <v>535</v>
      </c>
      <c r="J89" t="s">
        <v>536</v>
      </c>
      <c r="K89" t="s">
        <v>537</v>
      </c>
      <c r="L89">
        <v>1368</v>
      </c>
      <c r="N89">
        <v>1011</v>
      </c>
      <c r="O89" t="s">
        <v>393</v>
      </c>
      <c r="P89" t="s">
        <v>393</v>
      </c>
      <c r="Q89">
        <v>1</v>
      </c>
      <c r="X89">
        <v>2.0499999999999998</v>
      </c>
      <c r="Y89">
        <v>0</v>
      </c>
      <c r="Z89">
        <v>4.58</v>
      </c>
      <c r="AA89">
        <v>0.01</v>
      </c>
      <c r="AB89">
        <v>0</v>
      </c>
      <c r="AC89">
        <v>0</v>
      </c>
      <c r="AD89">
        <v>1</v>
      </c>
      <c r="AE89">
        <v>0</v>
      </c>
      <c r="AF89" t="s">
        <v>3</v>
      </c>
      <c r="AG89">
        <v>2.0499999999999998</v>
      </c>
      <c r="AH89">
        <v>2</v>
      </c>
      <c r="AI89">
        <v>38800019</v>
      </c>
      <c r="AJ89">
        <v>92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">
      <c r="A90">
        <f>ROW(Source!A91)</f>
        <v>91</v>
      </c>
      <c r="B90">
        <v>38800020</v>
      </c>
      <c r="C90">
        <v>38799883</v>
      </c>
      <c r="D90">
        <v>38465084</v>
      </c>
      <c r="E90">
        <v>1</v>
      </c>
      <c r="F90">
        <v>1</v>
      </c>
      <c r="G90">
        <v>27</v>
      </c>
      <c r="H90">
        <v>2</v>
      </c>
      <c r="I90" t="s">
        <v>538</v>
      </c>
      <c r="J90" t="s">
        <v>539</v>
      </c>
      <c r="K90" t="s">
        <v>540</v>
      </c>
      <c r="L90">
        <v>1368</v>
      </c>
      <c r="N90">
        <v>1011</v>
      </c>
      <c r="O90" t="s">
        <v>393</v>
      </c>
      <c r="P90" t="s">
        <v>393</v>
      </c>
      <c r="Q90">
        <v>1</v>
      </c>
      <c r="X90">
        <v>2.4</v>
      </c>
      <c r="Y90">
        <v>0</v>
      </c>
      <c r="Z90">
        <v>5.08</v>
      </c>
      <c r="AA90">
        <v>0.01</v>
      </c>
      <c r="AB90">
        <v>0</v>
      </c>
      <c r="AC90">
        <v>0</v>
      </c>
      <c r="AD90">
        <v>1</v>
      </c>
      <c r="AE90">
        <v>0</v>
      </c>
      <c r="AF90" t="s">
        <v>3</v>
      </c>
      <c r="AG90">
        <v>2.4</v>
      </c>
      <c r="AH90">
        <v>2</v>
      </c>
      <c r="AI90">
        <v>38800020</v>
      </c>
      <c r="AJ90">
        <v>93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">
      <c r="A91">
        <f>ROW(Source!A91)</f>
        <v>91</v>
      </c>
      <c r="B91">
        <v>38800021</v>
      </c>
      <c r="C91">
        <v>38799883</v>
      </c>
      <c r="D91">
        <v>38466764</v>
      </c>
      <c r="E91">
        <v>1</v>
      </c>
      <c r="F91">
        <v>1</v>
      </c>
      <c r="G91">
        <v>27</v>
      </c>
      <c r="H91">
        <v>3</v>
      </c>
      <c r="I91" t="s">
        <v>541</v>
      </c>
      <c r="J91" t="s">
        <v>542</v>
      </c>
      <c r="K91" t="s">
        <v>543</v>
      </c>
      <c r="L91">
        <v>1301</v>
      </c>
      <c r="N91">
        <v>1003</v>
      </c>
      <c r="O91" t="s">
        <v>121</v>
      </c>
      <c r="P91" t="s">
        <v>121</v>
      </c>
      <c r="Q91">
        <v>1</v>
      </c>
      <c r="X91">
        <v>43.73</v>
      </c>
      <c r="Y91">
        <v>16.09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 t="s">
        <v>3</v>
      </c>
      <c r="AG91">
        <v>43.73</v>
      </c>
      <c r="AH91">
        <v>2</v>
      </c>
      <c r="AI91">
        <v>38800021</v>
      </c>
      <c r="AJ91">
        <v>94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">
      <c r="A92">
        <f>ROW(Source!A91)</f>
        <v>91</v>
      </c>
      <c r="B92">
        <v>38800022</v>
      </c>
      <c r="C92">
        <v>38799883</v>
      </c>
      <c r="D92">
        <v>38466765</v>
      </c>
      <c r="E92">
        <v>1</v>
      </c>
      <c r="F92">
        <v>1</v>
      </c>
      <c r="G92">
        <v>27</v>
      </c>
      <c r="H92">
        <v>3</v>
      </c>
      <c r="I92" t="s">
        <v>544</v>
      </c>
      <c r="J92" t="s">
        <v>545</v>
      </c>
      <c r="K92" t="s">
        <v>546</v>
      </c>
      <c r="L92">
        <v>1301</v>
      </c>
      <c r="N92">
        <v>1003</v>
      </c>
      <c r="O92" t="s">
        <v>121</v>
      </c>
      <c r="P92" t="s">
        <v>121</v>
      </c>
      <c r="Q92">
        <v>1</v>
      </c>
      <c r="X92">
        <v>43.73</v>
      </c>
      <c r="Y92">
        <v>32.99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 t="s">
        <v>3</v>
      </c>
      <c r="AG92">
        <v>43.73</v>
      </c>
      <c r="AH92">
        <v>2</v>
      </c>
      <c r="AI92">
        <v>38800022</v>
      </c>
      <c r="AJ92">
        <v>95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">
      <c r="A93">
        <f>ROW(Source!A91)</f>
        <v>91</v>
      </c>
      <c r="B93">
        <v>38800023</v>
      </c>
      <c r="C93">
        <v>38799883</v>
      </c>
      <c r="D93">
        <v>38467857</v>
      </c>
      <c r="E93">
        <v>1</v>
      </c>
      <c r="F93">
        <v>1</v>
      </c>
      <c r="G93">
        <v>27</v>
      </c>
      <c r="H93">
        <v>3</v>
      </c>
      <c r="I93" t="s">
        <v>547</v>
      </c>
      <c r="J93" t="s">
        <v>548</v>
      </c>
      <c r="K93" t="s">
        <v>549</v>
      </c>
      <c r="L93">
        <v>1327</v>
      </c>
      <c r="N93">
        <v>1005</v>
      </c>
      <c r="O93" t="s">
        <v>289</v>
      </c>
      <c r="P93" t="s">
        <v>289</v>
      </c>
      <c r="Q93">
        <v>1</v>
      </c>
      <c r="X93">
        <v>101.5</v>
      </c>
      <c r="Y93">
        <v>245.08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 t="s">
        <v>3</v>
      </c>
      <c r="AG93">
        <v>101.5</v>
      </c>
      <c r="AH93">
        <v>2</v>
      </c>
      <c r="AI93">
        <v>38800023</v>
      </c>
      <c r="AJ93">
        <v>96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">
      <c r="A94">
        <f>ROW(Source!A91)</f>
        <v>91</v>
      </c>
      <c r="B94">
        <v>38800024</v>
      </c>
      <c r="C94">
        <v>38799883</v>
      </c>
      <c r="D94">
        <v>38467859</v>
      </c>
      <c r="E94">
        <v>1</v>
      </c>
      <c r="F94">
        <v>1</v>
      </c>
      <c r="G94">
        <v>27</v>
      </c>
      <c r="H94">
        <v>3</v>
      </c>
      <c r="I94" t="s">
        <v>550</v>
      </c>
      <c r="J94" t="s">
        <v>551</v>
      </c>
      <c r="K94" t="s">
        <v>552</v>
      </c>
      <c r="L94">
        <v>1301</v>
      </c>
      <c r="N94">
        <v>1003</v>
      </c>
      <c r="O94" t="s">
        <v>121</v>
      </c>
      <c r="P94" t="s">
        <v>121</v>
      </c>
      <c r="Q94">
        <v>1</v>
      </c>
      <c r="X94">
        <v>87.47</v>
      </c>
      <c r="Y94">
        <v>28.43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 t="s">
        <v>3</v>
      </c>
      <c r="AG94">
        <v>87.47</v>
      </c>
      <c r="AH94">
        <v>2</v>
      </c>
      <c r="AI94">
        <v>38800024</v>
      </c>
      <c r="AJ94">
        <v>97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">
      <c r="A95">
        <f>ROW(Source!A91)</f>
        <v>91</v>
      </c>
      <c r="B95">
        <v>38800025</v>
      </c>
      <c r="C95">
        <v>38799883</v>
      </c>
      <c r="D95">
        <v>38467560</v>
      </c>
      <c r="E95">
        <v>1</v>
      </c>
      <c r="F95">
        <v>1</v>
      </c>
      <c r="G95">
        <v>27</v>
      </c>
      <c r="H95">
        <v>3</v>
      </c>
      <c r="I95" t="s">
        <v>553</v>
      </c>
      <c r="J95" t="s">
        <v>554</v>
      </c>
      <c r="K95" t="s">
        <v>555</v>
      </c>
      <c r="L95">
        <v>1355</v>
      </c>
      <c r="N95">
        <v>1010</v>
      </c>
      <c r="O95" t="s">
        <v>556</v>
      </c>
      <c r="P95" t="s">
        <v>556</v>
      </c>
      <c r="Q95">
        <v>100</v>
      </c>
      <c r="X95">
        <v>0.91</v>
      </c>
      <c r="Y95">
        <v>851.18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 t="s">
        <v>3</v>
      </c>
      <c r="AG95">
        <v>0.91</v>
      </c>
      <c r="AH95">
        <v>2</v>
      </c>
      <c r="AI95">
        <v>38800025</v>
      </c>
      <c r="AJ95">
        <v>98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">
      <c r="A96">
        <f>ROW(Source!A91)</f>
        <v>91</v>
      </c>
      <c r="B96">
        <v>38800026</v>
      </c>
      <c r="C96">
        <v>38799883</v>
      </c>
      <c r="D96">
        <v>38467563</v>
      </c>
      <c r="E96">
        <v>1</v>
      </c>
      <c r="F96">
        <v>1</v>
      </c>
      <c r="G96">
        <v>27</v>
      </c>
      <c r="H96">
        <v>3</v>
      </c>
      <c r="I96" t="s">
        <v>557</v>
      </c>
      <c r="J96" t="s">
        <v>558</v>
      </c>
      <c r="K96" t="s">
        <v>559</v>
      </c>
      <c r="L96">
        <v>1301</v>
      </c>
      <c r="N96">
        <v>1003</v>
      </c>
      <c r="O96" t="s">
        <v>121</v>
      </c>
      <c r="P96" t="s">
        <v>121</v>
      </c>
      <c r="Q96">
        <v>1</v>
      </c>
      <c r="X96">
        <v>48.11</v>
      </c>
      <c r="Y96">
        <v>37.46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 t="s">
        <v>3</v>
      </c>
      <c r="AG96">
        <v>48.11</v>
      </c>
      <c r="AH96">
        <v>2</v>
      </c>
      <c r="AI96">
        <v>38800026</v>
      </c>
      <c r="AJ96">
        <v>99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A97">
        <f>ROW(Source!A91)</f>
        <v>91</v>
      </c>
      <c r="B97">
        <v>38800027</v>
      </c>
      <c r="C97">
        <v>38799883</v>
      </c>
      <c r="D97">
        <v>38467564</v>
      </c>
      <c r="E97">
        <v>1</v>
      </c>
      <c r="F97">
        <v>1</v>
      </c>
      <c r="G97">
        <v>27</v>
      </c>
      <c r="H97">
        <v>3</v>
      </c>
      <c r="I97" t="s">
        <v>560</v>
      </c>
      <c r="J97" t="s">
        <v>561</v>
      </c>
      <c r="K97" t="s">
        <v>562</v>
      </c>
      <c r="L97">
        <v>1301</v>
      </c>
      <c r="N97">
        <v>1003</v>
      </c>
      <c r="O97" t="s">
        <v>121</v>
      </c>
      <c r="P97" t="s">
        <v>121</v>
      </c>
      <c r="Q97">
        <v>1</v>
      </c>
      <c r="X97">
        <v>48.11</v>
      </c>
      <c r="Y97">
        <v>153.38999999999999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 t="s">
        <v>3</v>
      </c>
      <c r="AG97">
        <v>48.11</v>
      </c>
      <c r="AH97">
        <v>2</v>
      </c>
      <c r="AI97">
        <v>38800027</v>
      </c>
      <c r="AJ97">
        <v>100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A98">
        <f>ROW(Source!A91)</f>
        <v>91</v>
      </c>
      <c r="B98">
        <v>38800028</v>
      </c>
      <c r="C98">
        <v>38799883</v>
      </c>
      <c r="D98">
        <v>38469190</v>
      </c>
      <c r="E98">
        <v>1</v>
      </c>
      <c r="F98">
        <v>1</v>
      </c>
      <c r="G98">
        <v>27</v>
      </c>
      <c r="H98">
        <v>3</v>
      </c>
      <c r="I98" t="s">
        <v>563</v>
      </c>
      <c r="J98" t="s">
        <v>564</v>
      </c>
      <c r="K98" t="s">
        <v>565</v>
      </c>
      <c r="L98">
        <v>1355</v>
      </c>
      <c r="N98">
        <v>1010</v>
      </c>
      <c r="O98" t="s">
        <v>556</v>
      </c>
      <c r="P98" t="s">
        <v>556</v>
      </c>
      <c r="Q98">
        <v>100</v>
      </c>
      <c r="X98">
        <v>5.46</v>
      </c>
      <c r="Y98">
        <v>241.19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 t="s">
        <v>3</v>
      </c>
      <c r="AG98">
        <v>5.46</v>
      </c>
      <c r="AH98">
        <v>2</v>
      </c>
      <c r="AI98">
        <v>38800028</v>
      </c>
      <c r="AJ98">
        <v>101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A99">
        <f>ROW(Source!A91)</f>
        <v>91</v>
      </c>
      <c r="B99">
        <v>38800029</v>
      </c>
      <c r="C99">
        <v>38799883</v>
      </c>
      <c r="D99">
        <v>38469837</v>
      </c>
      <c r="E99">
        <v>1</v>
      </c>
      <c r="F99">
        <v>1</v>
      </c>
      <c r="G99">
        <v>27</v>
      </c>
      <c r="H99">
        <v>3</v>
      </c>
      <c r="I99" t="s">
        <v>566</v>
      </c>
      <c r="J99" t="s">
        <v>567</v>
      </c>
      <c r="K99" t="s">
        <v>568</v>
      </c>
      <c r="L99">
        <v>1301</v>
      </c>
      <c r="N99">
        <v>1003</v>
      </c>
      <c r="O99" t="s">
        <v>121</v>
      </c>
      <c r="P99" t="s">
        <v>121</v>
      </c>
      <c r="Q99">
        <v>1</v>
      </c>
      <c r="X99">
        <v>48.11</v>
      </c>
      <c r="Y99">
        <v>69.680000000000007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 t="s">
        <v>3</v>
      </c>
      <c r="AG99">
        <v>48.11</v>
      </c>
      <c r="AH99">
        <v>2</v>
      </c>
      <c r="AI99">
        <v>38800029</v>
      </c>
      <c r="AJ99">
        <v>102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A100">
        <f>ROW(Source!A91)</f>
        <v>91</v>
      </c>
      <c r="B100">
        <v>38800030</v>
      </c>
      <c r="C100">
        <v>38799883</v>
      </c>
      <c r="D100">
        <v>38469838</v>
      </c>
      <c r="E100">
        <v>1</v>
      </c>
      <c r="F100">
        <v>1</v>
      </c>
      <c r="G100">
        <v>27</v>
      </c>
      <c r="H100">
        <v>3</v>
      </c>
      <c r="I100" t="s">
        <v>569</v>
      </c>
      <c r="J100" t="s">
        <v>570</v>
      </c>
      <c r="K100" t="s">
        <v>571</v>
      </c>
      <c r="L100">
        <v>1301</v>
      </c>
      <c r="N100">
        <v>1003</v>
      </c>
      <c r="O100" t="s">
        <v>121</v>
      </c>
      <c r="P100" t="s">
        <v>121</v>
      </c>
      <c r="Q100">
        <v>1</v>
      </c>
      <c r="X100">
        <v>48.11</v>
      </c>
      <c r="Y100">
        <v>149.85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 t="s">
        <v>3</v>
      </c>
      <c r="AG100">
        <v>48.11</v>
      </c>
      <c r="AH100">
        <v>2</v>
      </c>
      <c r="AI100">
        <v>38800030</v>
      </c>
      <c r="AJ100">
        <v>103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A101">
        <f>ROW(Source!A92)</f>
        <v>92</v>
      </c>
      <c r="B101">
        <v>38800031</v>
      </c>
      <c r="C101">
        <v>38799912</v>
      </c>
      <c r="D101">
        <v>38451941</v>
      </c>
      <c r="E101">
        <v>27</v>
      </c>
      <c r="F101">
        <v>1</v>
      </c>
      <c r="G101">
        <v>27</v>
      </c>
      <c r="H101">
        <v>1</v>
      </c>
      <c r="I101" t="s">
        <v>387</v>
      </c>
      <c r="J101" t="s">
        <v>3</v>
      </c>
      <c r="K101" t="s">
        <v>388</v>
      </c>
      <c r="L101">
        <v>1191</v>
      </c>
      <c r="N101">
        <v>1013</v>
      </c>
      <c r="O101" t="s">
        <v>389</v>
      </c>
      <c r="P101" t="s">
        <v>389</v>
      </c>
      <c r="Q101">
        <v>1</v>
      </c>
      <c r="X101">
        <v>36.46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1</v>
      </c>
      <c r="AF101" t="s">
        <v>3</v>
      </c>
      <c r="AG101">
        <v>36.46</v>
      </c>
      <c r="AH101">
        <v>2</v>
      </c>
      <c r="AI101">
        <v>38800031</v>
      </c>
      <c r="AJ101">
        <v>104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A102">
        <f>ROW(Source!A92)</f>
        <v>92</v>
      </c>
      <c r="B102">
        <v>38800032</v>
      </c>
      <c r="C102">
        <v>38799912</v>
      </c>
      <c r="D102">
        <v>38464670</v>
      </c>
      <c r="E102">
        <v>1</v>
      </c>
      <c r="F102">
        <v>1</v>
      </c>
      <c r="G102">
        <v>27</v>
      </c>
      <c r="H102">
        <v>2</v>
      </c>
      <c r="I102" t="s">
        <v>390</v>
      </c>
      <c r="J102" t="s">
        <v>391</v>
      </c>
      <c r="K102" t="s">
        <v>392</v>
      </c>
      <c r="L102">
        <v>1368</v>
      </c>
      <c r="N102">
        <v>1011</v>
      </c>
      <c r="O102" t="s">
        <v>393</v>
      </c>
      <c r="P102" t="s">
        <v>393</v>
      </c>
      <c r="Q102">
        <v>1</v>
      </c>
      <c r="X102">
        <v>0.02</v>
      </c>
      <c r="Y102">
        <v>0</v>
      </c>
      <c r="Z102">
        <v>41.19</v>
      </c>
      <c r="AA102">
        <v>0.34</v>
      </c>
      <c r="AB102">
        <v>0</v>
      </c>
      <c r="AC102">
        <v>0</v>
      </c>
      <c r="AD102">
        <v>1</v>
      </c>
      <c r="AE102">
        <v>0</v>
      </c>
      <c r="AF102" t="s">
        <v>3</v>
      </c>
      <c r="AG102">
        <v>0.02</v>
      </c>
      <c r="AH102">
        <v>2</v>
      </c>
      <c r="AI102">
        <v>38800032</v>
      </c>
      <c r="AJ102">
        <v>105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A103">
        <f>ROW(Source!A92)</f>
        <v>92</v>
      </c>
      <c r="B103">
        <v>38800033</v>
      </c>
      <c r="C103">
        <v>38799912</v>
      </c>
      <c r="D103">
        <v>38465076</v>
      </c>
      <c r="E103">
        <v>1</v>
      </c>
      <c r="F103">
        <v>1</v>
      </c>
      <c r="G103">
        <v>27</v>
      </c>
      <c r="H103">
        <v>2</v>
      </c>
      <c r="I103" t="s">
        <v>394</v>
      </c>
      <c r="J103" t="s">
        <v>395</v>
      </c>
      <c r="K103" t="s">
        <v>396</v>
      </c>
      <c r="L103">
        <v>1368</v>
      </c>
      <c r="N103">
        <v>1011</v>
      </c>
      <c r="O103" t="s">
        <v>393</v>
      </c>
      <c r="P103" t="s">
        <v>393</v>
      </c>
      <c r="Q103">
        <v>1</v>
      </c>
      <c r="X103">
        <v>0.2</v>
      </c>
      <c r="Y103">
        <v>0</v>
      </c>
      <c r="Z103">
        <v>27.02</v>
      </c>
      <c r="AA103">
        <v>0.03</v>
      </c>
      <c r="AB103">
        <v>0</v>
      </c>
      <c r="AC103">
        <v>0</v>
      </c>
      <c r="AD103">
        <v>1</v>
      </c>
      <c r="AE103">
        <v>0</v>
      </c>
      <c r="AF103" t="s">
        <v>3</v>
      </c>
      <c r="AG103">
        <v>0.2</v>
      </c>
      <c r="AH103">
        <v>2</v>
      </c>
      <c r="AI103">
        <v>38800033</v>
      </c>
      <c r="AJ103">
        <v>106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">
      <c r="A104">
        <f>ROW(Source!A92)</f>
        <v>92</v>
      </c>
      <c r="B104">
        <v>38800034</v>
      </c>
      <c r="C104">
        <v>38799912</v>
      </c>
      <c r="D104">
        <v>38465038</v>
      </c>
      <c r="E104">
        <v>1</v>
      </c>
      <c r="F104">
        <v>1</v>
      </c>
      <c r="G104">
        <v>27</v>
      </c>
      <c r="H104">
        <v>2</v>
      </c>
      <c r="I104" t="s">
        <v>397</v>
      </c>
      <c r="J104" t="s">
        <v>398</v>
      </c>
      <c r="K104" t="s">
        <v>399</v>
      </c>
      <c r="L104">
        <v>1368</v>
      </c>
      <c r="N104">
        <v>1011</v>
      </c>
      <c r="O104" t="s">
        <v>393</v>
      </c>
      <c r="P104" t="s">
        <v>393</v>
      </c>
      <c r="Q104">
        <v>1</v>
      </c>
      <c r="X104">
        <v>3.01</v>
      </c>
      <c r="Y104">
        <v>0</v>
      </c>
      <c r="Z104">
        <v>4.71</v>
      </c>
      <c r="AA104">
        <v>1.1200000000000001</v>
      </c>
      <c r="AB104">
        <v>0</v>
      </c>
      <c r="AC104">
        <v>0</v>
      </c>
      <c r="AD104">
        <v>1</v>
      </c>
      <c r="AE104">
        <v>0</v>
      </c>
      <c r="AF104" t="s">
        <v>3</v>
      </c>
      <c r="AG104">
        <v>3.01</v>
      </c>
      <c r="AH104">
        <v>2</v>
      </c>
      <c r="AI104">
        <v>38800034</v>
      </c>
      <c r="AJ104">
        <v>107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A105">
        <f>ROW(Source!A92)</f>
        <v>92</v>
      </c>
      <c r="B105">
        <v>38800035</v>
      </c>
      <c r="C105">
        <v>38799912</v>
      </c>
      <c r="D105">
        <v>38464353</v>
      </c>
      <c r="E105">
        <v>1</v>
      </c>
      <c r="F105">
        <v>1</v>
      </c>
      <c r="G105">
        <v>27</v>
      </c>
      <c r="H105">
        <v>2</v>
      </c>
      <c r="I105" t="s">
        <v>400</v>
      </c>
      <c r="J105" t="s">
        <v>401</v>
      </c>
      <c r="K105" t="s">
        <v>402</v>
      </c>
      <c r="L105">
        <v>1368</v>
      </c>
      <c r="N105">
        <v>1011</v>
      </c>
      <c r="O105" t="s">
        <v>393</v>
      </c>
      <c r="P105" t="s">
        <v>393</v>
      </c>
      <c r="Q105">
        <v>1</v>
      </c>
      <c r="X105">
        <v>1.1000000000000001</v>
      </c>
      <c r="Y105">
        <v>0</v>
      </c>
      <c r="Z105">
        <v>10.39</v>
      </c>
      <c r="AA105">
        <v>0.03</v>
      </c>
      <c r="AB105">
        <v>0</v>
      </c>
      <c r="AC105">
        <v>0</v>
      </c>
      <c r="AD105">
        <v>1</v>
      </c>
      <c r="AE105">
        <v>0</v>
      </c>
      <c r="AF105" t="s">
        <v>3</v>
      </c>
      <c r="AG105">
        <v>1.1000000000000001</v>
      </c>
      <c r="AH105">
        <v>2</v>
      </c>
      <c r="AI105">
        <v>38800035</v>
      </c>
      <c r="AJ105">
        <v>108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A106">
        <f>ROW(Source!A92)</f>
        <v>92</v>
      </c>
      <c r="B106">
        <v>38800036</v>
      </c>
      <c r="C106">
        <v>38799912</v>
      </c>
      <c r="D106">
        <v>38466121</v>
      </c>
      <c r="E106">
        <v>1</v>
      </c>
      <c r="F106">
        <v>1</v>
      </c>
      <c r="G106">
        <v>27</v>
      </c>
      <c r="H106">
        <v>3</v>
      </c>
      <c r="I106" t="s">
        <v>403</v>
      </c>
      <c r="J106" t="s">
        <v>404</v>
      </c>
      <c r="K106" t="s">
        <v>405</v>
      </c>
      <c r="L106">
        <v>1327</v>
      </c>
      <c r="N106">
        <v>1005</v>
      </c>
      <c r="O106" t="s">
        <v>289</v>
      </c>
      <c r="P106" t="s">
        <v>289</v>
      </c>
      <c r="Q106">
        <v>1</v>
      </c>
      <c r="X106">
        <v>100</v>
      </c>
      <c r="Y106">
        <v>397.91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 t="s">
        <v>3</v>
      </c>
      <c r="AG106">
        <v>100</v>
      </c>
      <c r="AH106">
        <v>2</v>
      </c>
      <c r="AI106">
        <v>38800036</v>
      </c>
      <c r="AJ106">
        <v>109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A107">
        <f>ROW(Source!A92)</f>
        <v>92</v>
      </c>
      <c r="B107">
        <v>38800037</v>
      </c>
      <c r="C107">
        <v>38799912</v>
      </c>
      <c r="D107">
        <v>38466153</v>
      </c>
      <c r="E107">
        <v>1</v>
      </c>
      <c r="F107">
        <v>1</v>
      </c>
      <c r="G107">
        <v>27</v>
      </c>
      <c r="H107">
        <v>3</v>
      </c>
      <c r="I107" t="s">
        <v>406</v>
      </c>
      <c r="J107" t="s">
        <v>407</v>
      </c>
      <c r="K107" t="s">
        <v>408</v>
      </c>
      <c r="L107">
        <v>1348</v>
      </c>
      <c r="N107">
        <v>1009</v>
      </c>
      <c r="O107" t="s">
        <v>155</v>
      </c>
      <c r="P107" t="s">
        <v>155</v>
      </c>
      <c r="Q107">
        <v>1000</v>
      </c>
      <c r="X107">
        <v>2E-3</v>
      </c>
      <c r="Y107">
        <v>153777.19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 t="s">
        <v>3</v>
      </c>
      <c r="AG107">
        <v>2E-3</v>
      </c>
      <c r="AH107">
        <v>2</v>
      </c>
      <c r="AI107">
        <v>38800037</v>
      </c>
      <c r="AJ107">
        <v>110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4" x14ac:dyDescent="0.2">
      <c r="A108">
        <f>ROW(Source!A92)</f>
        <v>92</v>
      </c>
      <c r="B108">
        <v>38800038</v>
      </c>
      <c r="C108">
        <v>38799912</v>
      </c>
      <c r="D108">
        <v>38469131</v>
      </c>
      <c r="E108">
        <v>1</v>
      </c>
      <c r="F108">
        <v>1</v>
      </c>
      <c r="G108">
        <v>27</v>
      </c>
      <c r="H108">
        <v>3</v>
      </c>
      <c r="I108" t="s">
        <v>409</v>
      </c>
      <c r="J108" t="s">
        <v>410</v>
      </c>
      <c r="K108" t="s">
        <v>411</v>
      </c>
      <c r="L108">
        <v>1348</v>
      </c>
      <c r="N108">
        <v>1009</v>
      </c>
      <c r="O108" t="s">
        <v>155</v>
      </c>
      <c r="P108" t="s">
        <v>155</v>
      </c>
      <c r="Q108">
        <v>1000</v>
      </c>
      <c r="X108">
        <v>1.0999999999999999E-2</v>
      </c>
      <c r="Y108">
        <v>75026.559999999998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 t="s">
        <v>3</v>
      </c>
      <c r="AG108">
        <v>1.0999999999999999E-2</v>
      </c>
      <c r="AH108">
        <v>2</v>
      </c>
      <c r="AI108">
        <v>38800038</v>
      </c>
      <c r="AJ108">
        <v>111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">
      <c r="A109">
        <f>ROW(Source!A162)</f>
        <v>162</v>
      </c>
      <c r="B109">
        <v>38800460</v>
      </c>
      <c r="C109">
        <v>38800459</v>
      </c>
      <c r="D109">
        <v>38451941</v>
      </c>
      <c r="E109">
        <v>27</v>
      </c>
      <c r="F109">
        <v>1</v>
      </c>
      <c r="G109">
        <v>27</v>
      </c>
      <c r="H109">
        <v>1</v>
      </c>
      <c r="I109" t="s">
        <v>387</v>
      </c>
      <c r="J109" t="s">
        <v>3</v>
      </c>
      <c r="K109" t="s">
        <v>388</v>
      </c>
      <c r="L109">
        <v>1191</v>
      </c>
      <c r="N109">
        <v>1013</v>
      </c>
      <c r="O109" t="s">
        <v>389</v>
      </c>
      <c r="P109" t="s">
        <v>389</v>
      </c>
      <c r="Q109">
        <v>1</v>
      </c>
      <c r="X109">
        <v>87.4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1</v>
      </c>
      <c r="AF109" t="s">
        <v>22</v>
      </c>
      <c r="AG109">
        <v>17.48</v>
      </c>
      <c r="AH109">
        <v>2</v>
      </c>
      <c r="AI109">
        <v>38800460</v>
      </c>
      <c r="AJ109">
        <v>112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>
        <f>ROW(Source!A162)</f>
        <v>162</v>
      </c>
      <c r="B110">
        <v>38800461</v>
      </c>
      <c r="C110">
        <v>38800459</v>
      </c>
      <c r="D110">
        <v>38464342</v>
      </c>
      <c r="E110">
        <v>1</v>
      </c>
      <c r="F110">
        <v>1</v>
      </c>
      <c r="G110">
        <v>27</v>
      </c>
      <c r="H110">
        <v>2</v>
      </c>
      <c r="I110" t="s">
        <v>520</v>
      </c>
      <c r="J110" t="s">
        <v>521</v>
      </c>
      <c r="K110" t="s">
        <v>522</v>
      </c>
      <c r="L110">
        <v>1368</v>
      </c>
      <c r="N110">
        <v>1011</v>
      </c>
      <c r="O110" t="s">
        <v>393</v>
      </c>
      <c r="P110" t="s">
        <v>393</v>
      </c>
      <c r="Q110">
        <v>1</v>
      </c>
      <c r="X110">
        <v>19</v>
      </c>
      <c r="Y110">
        <v>0</v>
      </c>
      <c r="Z110">
        <v>31</v>
      </c>
      <c r="AA110">
        <v>1.35</v>
      </c>
      <c r="AB110">
        <v>0</v>
      </c>
      <c r="AC110">
        <v>0</v>
      </c>
      <c r="AD110">
        <v>1</v>
      </c>
      <c r="AE110">
        <v>0</v>
      </c>
      <c r="AF110" t="s">
        <v>22</v>
      </c>
      <c r="AG110">
        <v>3.8000000000000003</v>
      </c>
      <c r="AH110">
        <v>2</v>
      </c>
      <c r="AI110">
        <v>38800461</v>
      </c>
      <c r="AJ110">
        <v>113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">
      <c r="A111">
        <f>ROW(Source!A162)</f>
        <v>162</v>
      </c>
      <c r="B111">
        <v>38800462</v>
      </c>
      <c r="C111">
        <v>38800459</v>
      </c>
      <c r="D111">
        <v>38466161</v>
      </c>
      <c r="E111">
        <v>1</v>
      </c>
      <c r="F111">
        <v>1</v>
      </c>
      <c r="G111">
        <v>27</v>
      </c>
      <c r="H111">
        <v>3</v>
      </c>
      <c r="I111" t="s">
        <v>523</v>
      </c>
      <c r="J111" t="s">
        <v>524</v>
      </c>
      <c r="K111" t="s">
        <v>525</v>
      </c>
      <c r="L111">
        <v>1348</v>
      </c>
      <c r="N111">
        <v>1009</v>
      </c>
      <c r="O111" t="s">
        <v>155</v>
      </c>
      <c r="P111" t="s">
        <v>155</v>
      </c>
      <c r="Q111">
        <v>1000</v>
      </c>
      <c r="X111">
        <v>3.3E-3</v>
      </c>
      <c r="Y111">
        <v>105084.63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 t="s">
        <v>21</v>
      </c>
      <c r="AG111">
        <v>0</v>
      </c>
      <c r="AH111">
        <v>2</v>
      </c>
      <c r="AI111">
        <v>38800462</v>
      </c>
      <c r="AJ111">
        <v>114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 x14ac:dyDescent="0.2">
      <c r="A112">
        <f>ROW(Source!A162)</f>
        <v>162</v>
      </c>
      <c r="B112">
        <v>38800463</v>
      </c>
      <c r="C112">
        <v>38800459</v>
      </c>
      <c r="D112">
        <v>38467018</v>
      </c>
      <c r="E112">
        <v>1</v>
      </c>
      <c r="F112">
        <v>1</v>
      </c>
      <c r="G112">
        <v>27</v>
      </c>
      <c r="H112">
        <v>3</v>
      </c>
      <c r="I112" t="s">
        <v>496</v>
      </c>
      <c r="J112" t="s">
        <v>497</v>
      </c>
      <c r="K112" t="s">
        <v>498</v>
      </c>
      <c r="L112">
        <v>1348</v>
      </c>
      <c r="N112">
        <v>1009</v>
      </c>
      <c r="O112" t="s">
        <v>155</v>
      </c>
      <c r="P112" t="s">
        <v>155</v>
      </c>
      <c r="Q112">
        <v>1000</v>
      </c>
      <c r="X112">
        <v>1.4E-3</v>
      </c>
      <c r="Y112">
        <v>110781.14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 t="s">
        <v>21</v>
      </c>
      <c r="AG112">
        <v>0</v>
      </c>
      <c r="AH112">
        <v>2</v>
      </c>
      <c r="AI112">
        <v>38800463</v>
      </c>
      <c r="AJ112">
        <v>115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2">
      <c r="A113">
        <f>ROW(Source!A162)</f>
        <v>162</v>
      </c>
      <c r="B113">
        <v>38800464</v>
      </c>
      <c r="C113">
        <v>38800459</v>
      </c>
      <c r="D113">
        <v>38469133</v>
      </c>
      <c r="E113">
        <v>1</v>
      </c>
      <c r="F113">
        <v>1</v>
      </c>
      <c r="G113">
        <v>27</v>
      </c>
      <c r="H113">
        <v>3</v>
      </c>
      <c r="I113" t="s">
        <v>526</v>
      </c>
      <c r="J113" t="s">
        <v>527</v>
      </c>
      <c r="K113" t="s">
        <v>528</v>
      </c>
      <c r="L113">
        <v>1348</v>
      </c>
      <c r="N113">
        <v>1009</v>
      </c>
      <c r="O113" t="s">
        <v>155</v>
      </c>
      <c r="P113" t="s">
        <v>155</v>
      </c>
      <c r="Q113">
        <v>1000</v>
      </c>
      <c r="X113">
        <v>1</v>
      </c>
      <c r="Y113">
        <v>75026.559999999998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 t="s">
        <v>21</v>
      </c>
      <c r="AG113">
        <v>0</v>
      </c>
      <c r="AH113">
        <v>2</v>
      </c>
      <c r="AI113">
        <v>38800464</v>
      </c>
      <c r="AJ113">
        <v>116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</row>
    <row r="114" spans="1:44" x14ac:dyDescent="0.2">
      <c r="A114">
        <f>ROW(Source!A199)</f>
        <v>199</v>
      </c>
      <c r="B114">
        <v>38800198</v>
      </c>
      <c r="C114">
        <v>38800196</v>
      </c>
      <c r="D114">
        <v>38451941</v>
      </c>
      <c r="E114">
        <v>27</v>
      </c>
      <c r="F114">
        <v>1</v>
      </c>
      <c r="G114">
        <v>27</v>
      </c>
      <c r="H114">
        <v>1</v>
      </c>
      <c r="I114" t="s">
        <v>387</v>
      </c>
      <c r="J114" t="s">
        <v>3</v>
      </c>
      <c r="K114" t="s">
        <v>388</v>
      </c>
      <c r="L114">
        <v>1191</v>
      </c>
      <c r="N114">
        <v>1013</v>
      </c>
      <c r="O114" t="s">
        <v>389</v>
      </c>
      <c r="P114" t="s">
        <v>389</v>
      </c>
      <c r="Q114">
        <v>1</v>
      </c>
      <c r="X114">
        <v>221.6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1</v>
      </c>
      <c r="AF114" t="s">
        <v>3</v>
      </c>
      <c r="AG114">
        <v>221.6</v>
      </c>
      <c r="AH114">
        <v>2</v>
      </c>
      <c r="AI114">
        <v>38800197</v>
      </c>
      <c r="AJ114">
        <v>117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">
      <c r="A115">
        <f>ROW(Source!A200)</f>
        <v>200</v>
      </c>
      <c r="B115">
        <v>38800203</v>
      </c>
      <c r="C115">
        <v>38800199</v>
      </c>
      <c r="D115">
        <v>38451941</v>
      </c>
      <c r="E115">
        <v>27</v>
      </c>
      <c r="F115">
        <v>1</v>
      </c>
      <c r="G115">
        <v>27</v>
      </c>
      <c r="H115">
        <v>1</v>
      </c>
      <c r="I115" t="s">
        <v>387</v>
      </c>
      <c r="J115" t="s">
        <v>3</v>
      </c>
      <c r="K115" t="s">
        <v>388</v>
      </c>
      <c r="L115">
        <v>1191</v>
      </c>
      <c r="N115">
        <v>1013</v>
      </c>
      <c r="O115" t="s">
        <v>389</v>
      </c>
      <c r="P115" t="s">
        <v>389</v>
      </c>
      <c r="Q115">
        <v>1</v>
      </c>
      <c r="X115">
        <v>12.42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1</v>
      </c>
      <c r="AF115" t="s">
        <v>3</v>
      </c>
      <c r="AG115">
        <v>12.42</v>
      </c>
      <c r="AH115">
        <v>2</v>
      </c>
      <c r="AI115">
        <v>38800200</v>
      </c>
      <c r="AJ115">
        <v>118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</row>
    <row r="116" spans="1:44" x14ac:dyDescent="0.2">
      <c r="A116">
        <f>ROW(Source!A200)</f>
        <v>200</v>
      </c>
      <c r="B116">
        <v>38800204</v>
      </c>
      <c r="C116">
        <v>38800199</v>
      </c>
      <c r="D116">
        <v>38464567</v>
      </c>
      <c r="E116">
        <v>1</v>
      </c>
      <c r="F116">
        <v>1</v>
      </c>
      <c r="G116">
        <v>27</v>
      </c>
      <c r="H116">
        <v>2</v>
      </c>
      <c r="I116" t="s">
        <v>412</v>
      </c>
      <c r="J116" t="s">
        <v>413</v>
      </c>
      <c r="K116" t="s">
        <v>414</v>
      </c>
      <c r="L116">
        <v>1368</v>
      </c>
      <c r="N116">
        <v>1011</v>
      </c>
      <c r="O116" t="s">
        <v>393</v>
      </c>
      <c r="P116" t="s">
        <v>393</v>
      </c>
      <c r="Q116">
        <v>1</v>
      </c>
      <c r="X116">
        <v>13.12</v>
      </c>
      <c r="Y116">
        <v>0</v>
      </c>
      <c r="Z116">
        <v>744.2</v>
      </c>
      <c r="AA116">
        <v>423.17</v>
      </c>
      <c r="AB116">
        <v>0</v>
      </c>
      <c r="AC116">
        <v>0</v>
      </c>
      <c r="AD116">
        <v>1</v>
      </c>
      <c r="AE116">
        <v>0</v>
      </c>
      <c r="AF116" t="s">
        <v>3</v>
      </c>
      <c r="AG116">
        <v>13.12</v>
      </c>
      <c r="AH116">
        <v>2</v>
      </c>
      <c r="AI116">
        <v>38800201</v>
      </c>
      <c r="AJ116">
        <v>119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</row>
    <row r="117" spans="1:44" x14ac:dyDescent="0.2">
      <c r="A117">
        <f>ROW(Source!A200)</f>
        <v>200</v>
      </c>
      <c r="B117">
        <v>38800205</v>
      </c>
      <c r="C117">
        <v>38800199</v>
      </c>
      <c r="D117">
        <v>38465034</v>
      </c>
      <c r="E117">
        <v>1</v>
      </c>
      <c r="F117">
        <v>1</v>
      </c>
      <c r="G117">
        <v>27</v>
      </c>
      <c r="H117">
        <v>2</v>
      </c>
      <c r="I117" t="s">
        <v>420</v>
      </c>
      <c r="J117" t="s">
        <v>421</v>
      </c>
      <c r="K117" t="s">
        <v>422</v>
      </c>
      <c r="L117">
        <v>1368</v>
      </c>
      <c r="N117">
        <v>1011</v>
      </c>
      <c r="O117" t="s">
        <v>393</v>
      </c>
      <c r="P117" t="s">
        <v>393</v>
      </c>
      <c r="Q117">
        <v>1</v>
      </c>
      <c r="X117">
        <v>13.12</v>
      </c>
      <c r="Y117">
        <v>0</v>
      </c>
      <c r="Z117">
        <v>3.75</v>
      </c>
      <c r="AA117">
        <v>2.56</v>
      </c>
      <c r="AB117">
        <v>0</v>
      </c>
      <c r="AC117">
        <v>0</v>
      </c>
      <c r="AD117">
        <v>1</v>
      </c>
      <c r="AE117">
        <v>0</v>
      </c>
      <c r="AF117" t="s">
        <v>3</v>
      </c>
      <c r="AG117">
        <v>13.12</v>
      </c>
      <c r="AH117">
        <v>2</v>
      </c>
      <c r="AI117">
        <v>38800202</v>
      </c>
      <c r="AJ117">
        <v>120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</row>
    <row r="118" spans="1:44" x14ac:dyDescent="0.2">
      <c r="A118">
        <f>ROW(Source!A201)</f>
        <v>201</v>
      </c>
      <c r="B118">
        <v>38800211</v>
      </c>
      <c r="C118">
        <v>38800206</v>
      </c>
      <c r="D118">
        <v>38451941</v>
      </c>
      <c r="E118">
        <v>27</v>
      </c>
      <c r="F118">
        <v>1</v>
      </c>
      <c r="G118">
        <v>27</v>
      </c>
      <c r="H118">
        <v>1</v>
      </c>
      <c r="I118" t="s">
        <v>387</v>
      </c>
      <c r="J118" t="s">
        <v>3</v>
      </c>
      <c r="K118" t="s">
        <v>388</v>
      </c>
      <c r="L118">
        <v>1191</v>
      </c>
      <c r="N118">
        <v>1013</v>
      </c>
      <c r="O118" t="s">
        <v>389</v>
      </c>
      <c r="P118" t="s">
        <v>389</v>
      </c>
      <c r="Q118">
        <v>1</v>
      </c>
      <c r="X118">
        <v>3.44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1</v>
      </c>
      <c r="AF118" t="s">
        <v>3</v>
      </c>
      <c r="AG118">
        <v>3.44</v>
      </c>
      <c r="AH118">
        <v>2</v>
      </c>
      <c r="AI118">
        <v>38800207</v>
      </c>
      <c r="AJ118">
        <v>121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</row>
    <row r="119" spans="1:44" x14ac:dyDescent="0.2">
      <c r="A119">
        <f>ROW(Source!A201)</f>
        <v>201</v>
      </c>
      <c r="B119">
        <v>38800212</v>
      </c>
      <c r="C119">
        <v>38800206</v>
      </c>
      <c r="D119">
        <v>38464567</v>
      </c>
      <c r="E119">
        <v>1</v>
      </c>
      <c r="F119">
        <v>1</v>
      </c>
      <c r="G119">
        <v>27</v>
      </c>
      <c r="H119">
        <v>2</v>
      </c>
      <c r="I119" t="s">
        <v>412</v>
      </c>
      <c r="J119" t="s">
        <v>413</v>
      </c>
      <c r="K119" t="s">
        <v>414</v>
      </c>
      <c r="L119">
        <v>1368</v>
      </c>
      <c r="N119">
        <v>1011</v>
      </c>
      <c r="O119" t="s">
        <v>393</v>
      </c>
      <c r="P119" t="s">
        <v>393</v>
      </c>
      <c r="Q119">
        <v>1</v>
      </c>
      <c r="X119">
        <v>0.38</v>
      </c>
      <c r="Y119">
        <v>0</v>
      </c>
      <c r="Z119">
        <v>744.2</v>
      </c>
      <c r="AA119">
        <v>423.17</v>
      </c>
      <c r="AB119">
        <v>0</v>
      </c>
      <c r="AC119">
        <v>0</v>
      </c>
      <c r="AD119">
        <v>1</v>
      </c>
      <c r="AE119">
        <v>0</v>
      </c>
      <c r="AF119" t="s">
        <v>3</v>
      </c>
      <c r="AG119">
        <v>0.38</v>
      </c>
      <c r="AH119">
        <v>2</v>
      </c>
      <c r="AI119">
        <v>38800208</v>
      </c>
      <c r="AJ119">
        <v>122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</row>
    <row r="120" spans="1:44" x14ac:dyDescent="0.2">
      <c r="A120">
        <f>ROW(Source!A201)</f>
        <v>201</v>
      </c>
      <c r="B120">
        <v>38800213</v>
      </c>
      <c r="C120">
        <v>38800206</v>
      </c>
      <c r="D120">
        <v>38465034</v>
      </c>
      <c r="E120">
        <v>1</v>
      </c>
      <c r="F120">
        <v>1</v>
      </c>
      <c r="G120">
        <v>27</v>
      </c>
      <c r="H120">
        <v>2</v>
      </c>
      <c r="I120" t="s">
        <v>420</v>
      </c>
      <c r="J120" t="s">
        <v>421</v>
      </c>
      <c r="K120" t="s">
        <v>422</v>
      </c>
      <c r="L120">
        <v>1368</v>
      </c>
      <c r="N120">
        <v>1011</v>
      </c>
      <c r="O120" t="s">
        <v>393</v>
      </c>
      <c r="P120" t="s">
        <v>393</v>
      </c>
      <c r="Q120">
        <v>1</v>
      </c>
      <c r="X120">
        <v>0.38</v>
      </c>
      <c r="Y120">
        <v>0</v>
      </c>
      <c r="Z120">
        <v>3.75</v>
      </c>
      <c r="AA120">
        <v>2.56</v>
      </c>
      <c r="AB120">
        <v>0</v>
      </c>
      <c r="AC120">
        <v>0</v>
      </c>
      <c r="AD120">
        <v>1</v>
      </c>
      <c r="AE120">
        <v>0</v>
      </c>
      <c r="AF120" t="s">
        <v>3</v>
      </c>
      <c r="AG120">
        <v>0.38</v>
      </c>
      <c r="AH120">
        <v>2</v>
      </c>
      <c r="AI120">
        <v>38800209</v>
      </c>
      <c r="AJ120">
        <v>123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</row>
    <row r="121" spans="1:44" x14ac:dyDescent="0.2">
      <c r="A121">
        <f>ROW(Source!A201)</f>
        <v>201</v>
      </c>
      <c r="B121">
        <v>38800214</v>
      </c>
      <c r="C121">
        <v>38800206</v>
      </c>
      <c r="D121">
        <v>38466366</v>
      </c>
      <c r="E121">
        <v>1</v>
      </c>
      <c r="F121">
        <v>1</v>
      </c>
      <c r="G121">
        <v>27</v>
      </c>
      <c r="H121">
        <v>3</v>
      </c>
      <c r="I121" t="s">
        <v>423</v>
      </c>
      <c r="J121" t="s">
        <v>424</v>
      </c>
      <c r="K121" t="s">
        <v>425</v>
      </c>
      <c r="L121">
        <v>1339</v>
      </c>
      <c r="N121">
        <v>1007</v>
      </c>
      <c r="O121" t="s">
        <v>35</v>
      </c>
      <c r="P121" t="s">
        <v>35</v>
      </c>
      <c r="Q121">
        <v>1</v>
      </c>
      <c r="X121">
        <v>1.1200000000000001</v>
      </c>
      <c r="Y121">
        <v>590.78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 t="s">
        <v>3</v>
      </c>
      <c r="AG121">
        <v>1.1200000000000001</v>
      </c>
      <c r="AH121">
        <v>2</v>
      </c>
      <c r="AI121">
        <v>38800210</v>
      </c>
      <c r="AJ121">
        <v>124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</row>
    <row r="122" spans="1:44" x14ac:dyDescent="0.2">
      <c r="A122">
        <f>ROW(Source!A202)</f>
        <v>202</v>
      </c>
      <c r="B122">
        <v>38800220</v>
      </c>
      <c r="C122">
        <v>38800215</v>
      </c>
      <c r="D122">
        <v>38451941</v>
      </c>
      <c r="E122">
        <v>27</v>
      </c>
      <c r="F122">
        <v>1</v>
      </c>
      <c r="G122">
        <v>27</v>
      </c>
      <c r="H122">
        <v>1</v>
      </c>
      <c r="I122" t="s">
        <v>387</v>
      </c>
      <c r="J122" t="s">
        <v>3</v>
      </c>
      <c r="K122" t="s">
        <v>388</v>
      </c>
      <c r="L122">
        <v>1191</v>
      </c>
      <c r="N122">
        <v>1013</v>
      </c>
      <c r="O122" t="s">
        <v>389</v>
      </c>
      <c r="P122" t="s">
        <v>389</v>
      </c>
      <c r="Q122">
        <v>1</v>
      </c>
      <c r="X122">
        <v>1.1499999999999999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1</v>
      </c>
      <c r="AF122" t="s">
        <v>3</v>
      </c>
      <c r="AG122">
        <v>1.1499999999999999</v>
      </c>
      <c r="AH122">
        <v>2</v>
      </c>
      <c r="AI122">
        <v>38800216</v>
      </c>
      <c r="AJ122">
        <v>125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 x14ac:dyDescent="0.2">
      <c r="A123">
        <f>ROW(Source!A202)</f>
        <v>202</v>
      </c>
      <c r="B123">
        <v>38800221</v>
      </c>
      <c r="C123">
        <v>38800215</v>
      </c>
      <c r="D123">
        <v>38465314</v>
      </c>
      <c r="E123">
        <v>1</v>
      </c>
      <c r="F123">
        <v>1</v>
      </c>
      <c r="G123">
        <v>27</v>
      </c>
      <c r="H123">
        <v>3</v>
      </c>
      <c r="I123" t="s">
        <v>426</v>
      </c>
      <c r="J123" t="s">
        <v>427</v>
      </c>
      <c r="K123" t="s">
        <v>428</v>
      </c>
      <c r="L123">
        <v>1348</v>
      </c>
      <c r="N123">
        <v>1009</v>
      </c>
      <c r="O123" t="s">
        <v>155</v>
      </c>
      <c r="P123" t="s">
        <v>155</v>
      </c>
      <c r="Q123">
        <v>1000</v>
      </c>
      <c r="X123">
        <v>4.4000000000000003E-3</v>
      </c>
      <c r="Y123">
        <v>4207.5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 t="s">
        <v>3</v>
      </c>
      <c r="AG123">
        <v>4.4000000000000003E-3</v>
      </c>
      <c r="AH123">
        <v>2</v>
      </c>
      <c r="AI123">
        <v>38800217</v>
      </c>
      <c r="AJ123">
        <v>126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</row>
    <row r="124" spans="1:44" x14ac:dyDescent="0.2">
      <c r="A124">
        <f>ROW(Source!A202)</f>
        <v>202</v>
      </c>
      <c r="B124">
        <v>38800222</v>
      </c>
      <c r="C124">
        <v>38800215</v>
      </c>
      <c r="D124">
        <v>38468080</v>
      </c>
      <c r="E124">
        <v>1</v>
      </c>
      <c r="F124">
        <v>1</v>
      </c>
      <c r="G124">
        <v>27</v>
      </c>
      <c r="H124">
        <v>3</v>
      </c>
      <c r="I124" t="s">
        <v>429</v>
      </c>
      <c r="J124" t="s">
        <v>430</v>
      </c>
      <c r="K124" t="s">
        <v>431</v>
      </c>
      <c r="L124">
        <v>1339</v>
      </c>
      <c r="N124">
        <v>1007</v>
      </c>
      <c r="O124" t="s">
        <v>35</v>
      </c>
      <c r="P124" t="s">
        <v>35</v>
      </c>
      <c r="Q124">
        <v>1</v>
      </c>
      <c r="X124">
        <v>7.5999999999999998E-2</v>
      </c>
      <c r="Y124">
        <v>3714.73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 t="s">
        <v>3</v>
      </c>
      <c r="AG124">
        <v>7.5999999999999998E-2</v>
      </c>
      <c r="AH124">
        <v>2</v>
      </c>
      <c r="AI124">
        <v>38800218</v>
      </c>
      <c r="AJ124">
        <v>127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</row>
    <row r="125" spans="1:44" x14ac:dyDescent="0.2">
      <c r="A125">
        <f>ROW(Source!A204)</f>
        <v>204</v>
      </c>
      <c r="B125">
        <v>38800231</v>
      </c>
      <c r="C125">
        <v>38800224</v>
      </c>
      <c r="D125">
        <v>38451941</v>
      </c>
      <c r="E125">
        <v>27</v>
      </c>
      <c r="F125">
        <v>1</v>
      </c>
      <c r="G125">
        <v>27</v>
      </c>
      <c r="H125">
        <v>1</v>
      </c>
      <c r="I125" t="s">
        <v>387</v>
      </c>
      <c r="J125" t="s">
        <v>3</v>
      </c>
      <c r="K125" t="s">
        <v>388</v>
      </c>
      <c r="L125">
        <v>1191</v>
      </c>
      <c r="N125">
        <v>1013</v>
      </c>
      <c r="O125" t="s">
        <v>389</v>
      </c>
      <c r="P125" t="s">
        <v>389</v>
      </c>
      <c r="Q125">
        <v>1</v>
      </c>
      <c r="X125">
        <v>3.73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1</v>
      </c>
      <c r="AF125" t="s">
        <v>3</v>
      </c>
      <c r="AG125">
        <v>3.73</v>
      </c>
      <c r="AH125">
        <v>2</v>
      </c>
      <c r="AI125">
        <v>38800225</v>
      </c>
      <c r="AJ125">
        <v>129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</row>
    <row r="126" spans="1:44" x14ac:dyDescent="0.2">
      <c r="A126">
        <f>ROW(Source!A204)</f>
        <v>204</v>
      </c>
      <c r="B126">
        <v>38800232</v>
      </c>
      <c r="C126">
        <v>38800224</v>
      </c>
      <c r="D126">
        <v>38464567</v>
      </c>
      <c r="E126">
        <v>1</v>
      </c>
      <c r="F126">
        <v>1</v>
      </c>
      <c r="G126">
        <v>27</v>
      </c>
      <c r="H126">
        <v>2</v>
      </c>
      <c r="I126" t="s">
        <v>412</v>
      </c>
      <c r="J126" t="s">
        <v>413</v>
      </c>
      <c r="K126" t="s">
        <v>414</v>
      </c>
      <c r="L126">
        <v>1368</v>
      </c>
      <c r="N126">
        <v>1011</v>
      </c>
      <c r="O126" t="s">
        <v>393</v>
      </c>
      <c r="P126" t="s">
        <v>393</v>
      </c>
      <c r="Q126">
        <v>1</v>
      </c>
      <c r="X126">
        <v>1.49</v>
      </c>
      <c r="Y126">
        <v>0</v>
      </c>
      <c r="Z126">
        <v>744.2</v>
      </c>
      <c r="AA126">
        <v>423.17</v>
      </c>
      <c r="AB126">
        <v>0</v>
      </c>
      <c r="AC126">
        <v>0</v>
      </c>
      <c r="AD126">
        <v>1</v>
      </c>
      <c r="AE126">
        <v>0</v>
      </c>
      <c r="AF126" t="s">
        <v>3</v>
      </c>
      <c r="AG126">
        <v>1.49</v>
      </c>
      <c r="AH126">
        <v>2</v>
      </c>
      <c r="AI126">
        <v>38800226</v>
      </c>
      <c r="AJ126">
        <v>130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</row>
    <row r="127" spans="1:44" x14ac:dyDescent="0.2">
      <c r="A127">
        <f>ROW(Source!A204)</f>
        <v>204</v>
      </c>
      <c r="B127">
        <v>38800233</v>
      </c>
      <c r="C127">
        <v>38800224</v>
      </c>
      <c r="D127">
        <v>38465034</v>
      </c>
      <c r="E127">
        <v>1</v>
      </c>
      <c r="F127">
        <v>1</v>
      </c>
      <c r="G127">
        <v>27</v>
      </c>
      <c r="H127">
        <v>2</v>
      </c>
      <c r="I127" t="s">
        <v>420</v>
      </c>
      <c r="J127" t="s">
        <v>421</v>
      </c>
      <c r="K127" t="s">
        <v>422</v>
      </c>
      <c r="L127">
        <v>1368</v>
      </c>
      <c r="N127">
        <v>1011</v>
      </c>
      <c r="O127" t="s">
        <v>393</v>
      </c>
      <c r="P127" t="s">
        <v>393</v>
      </c>
      <c r="Q127">
        <v>1</v>
      </c>
      <c r="X127">
        <v>1.49</v>
      </c>
      <c r="Y127">
        <v>0</v>
      </c>
      <c r="Z127">
        <v>3.75</v>
      </c>
      <c r="AA127">
        <v>2.56</v>
      </c>
      <c r="AB127">
        <v>0</v>
      </c>
      <c r="AC127">
        <v>0</v>
      </c>
      <c r="AD127">
        <v>1</v>
      </c>
      <c r="AE127">
        <v>0</v>
      </c>
      <c r="AF127" t="s">
        <v>3</v>
      </c>
      <c r="AG127">
        <v>1.49</v>
      </c>
      <c r="AH127">
        <v>2</v>
      </c>
      <c r="AI127">
        <v>38800227</v>
      </c>
      <c r="AJ127">
        <v>131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</row>
    <row r="128" spans="1:44" x14ac:dyDescent="0.2">
      <c r="A128">
        <f>ROW(Source!A204)</f>
        <v>204</v>
      </c>
      <c r="B128">
        <v>38800234</v>
      </c>
      <c r="C128">
        <v>38800224</v>
      </c>
      <c r="D128">
        <v>38466379</v>
      </c>
      <c r="E128">
        <v>1</v>
      </c>
      <c r="F128">
        <v>1</v>
      </c>
      <c r="G128">
        <v>27</v>
      </c>
      <c r="H128">
        <v>3</v>
      </c>
      <c r="I128" t="s">
        <v>432</v>
      </c>
      <c r="J128" t="s">
        <v>433</v>
      </c>
      <c r="K128" t="s">
        <v>434</v>
      </c>
      <c r="L128">
        <v>1339</v>
      </c>
      <c r="N128">
        <v>1007</v>
      </c>
      <c r="O128" t="s">
        <v>35</v>
      </c>
      <c r="P128" t="s">
        <v>35</v>
      </c>
      <c r="Q128">
        <v>1</v>
      </c>
      <c r="X128">
        <v>0.18</v>
      </c>
      <c r="Y128">
        <v>1436.5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 t="s">
        <v>3</v>
      </c>
      <c r="AG128">
        <v>0.18</v>
      </c>
      <c r="AH128">
        <v>2</v>
      </c>
      <c r="AI128">
        <v>38800228</v>
      </c>
      <c r="AJ128">
        <v>132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</row>
    <row r="129" spans="1:44" x14ac:dyDescent="0.2">
      <c r="A129">
        <f>ROW(Source!A204)</f>
        <v>204</v>
      </c>
      <c r="B129">
        <v>38800235</v>
      </c>
      <c r="C129">
        <v>38800224</v>
      </c>
      <c r="D129">
        <v>38466380</v>
      </c>
      <c r="E129">
        <v>1</v>
      </c>
      <c r="F129">
        <v>1</v>
      </c>
      <c r="G129">
        <v>27</v>
      </c>
      <c r="H129">
        <v>3</v>
      </c>
      <c r="I129" t="s">
        <v>435</v>
      </c>
      <c r="J129" t="s">
        <v>436</v>
      </c>
      <c r="K129" t="s">
        <v>437</v>
      </c>
      <c r="L129">
        <v>1339</v>
      </c>
      <c r="N129">
        <v>1007</v>
      </c>
      <c r="O129" t="s">
        <v>35</v>
      </c>
      <c r="P129" t="s">
        <v>35</v>
      </c>
      <c r="Q129">
        <v>1</v>
      </c>
      <c r="X129">
        <v>0.09</v>
      </c>
      <c r="Y129">
        <v>1436.5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0</v>
      </c>
      <c r="AF129" t="s">
        <v>3</v>
      </c>
      <c r="AG129">
        <v>0.09</v>
      </c>
      <c r="AH129">
        <v>2</v>
      </c>
      <c r="AI129">
        <v>38800229</v>
      </c>
      <c r="AJ129">
        <v>133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</row>
    <row r="130" spans="1:44" x14ac:dyDescent="0.2">
      <c r="A130">
        <f>ROW(Source!A204)</f>
        <v>204</v>
      </c>
      <c r="B130">
        <v>38800236</v>
      </c>
      <c r="C130">
        <v>38800224</v>
      </c>
      <c r="D130">
        <v>38466382</v>
      </c>
      <c r="E130">
        <v>1</v>
      </c>
      <c r="F130">
        <v>1</v>
      </c>
      <c r="G130">
        <v>27</v>
      </c>
      <c r="H130">
        <v>3</v>
      </c>
      <c r="I130" t="s">
        <v>438</v>
      </c>
      <c r="J130" t="s">
        <v>439</v>
      </c>
      <c r="K130" t="s">
        <v>440</v>
      </c>
      <c r="L130">
        <v>1339</v>
      </c>
      <c r="N130">
        <v>1007</v>
      </c>
      <c r="O130" t="s">
        <v>35</v>
      </c>
      <c r="P130" t="s">
        <v>35</v>
      </c>
      <c r="Q130">
        <v>1</v>
      </c>
      <c r="X130">
        <v>1</v>
      </c>
      <c r="Y130">
        <v>1241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 t="s">
        <v>3</v>
      </c>
      <c r="AG130">
        <v>1</v>
      </c>
      <c r="AH130">
        <v>2</v>
      </c>
      <c r="AI130">
        <v>38800230</v>
      </c>
      <c r="AJ130">
        <v>134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</row>
    <row r="131" spans="1:44" x14ac:dyDescent="0.2">
      <c r="A131">
        <f>ROW(Source!A205)</f>
        <v>205</v>
      </c>
      <c r="B131">
        <v>38800245</v>
      </c>
      <c r="C131">
        <v>38800237</v>
      </c>
      <c r="D131">
        <v>38451941</v>
      </c>
      <c r="E131">
        <v>27</v>
      </c>
      <c r="F131">
        <v>1</v>
      </c>
      <c r="G131">
        <v>27</v>
      </c>
      <c r="H131">
        <v>1</v>
      </c>
      <c r="I131" t="s">
        <v>387</v>
      </c>
      <c r="J131" t="s">
        <v>3</v>
      </c>
      <c r="K131" t="s">
        <v>388</v>
      </c>
      <c r="L131">
        <v>1191</v>
      </c>
      <c r="N131">
        <v>1013</v>
      </c>
      <c r="O131" t="s">
        <v>389</v>
      </c>
      <c r="P131" t="s">
        <v>389</v>
      </c>
      <c r="Q131">
        <v>1</v>
      </c>
      <c r="X131">
        <v>16.440000000000001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1</v>
      </c>
      <c r="AF131" t="s">
        <v>3</v>
      </c>
      <c r="AG131">
        <v>16.440000000000001</v>
      </c>
      <c r="AH131">
        <v>2</v>
      </c>
      <c r="AI131">
        <v>38800238</v>
      </c>
      <c r="AJ131">
        <v>135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1:44" x14ac:dyDescent="0.2">
      <c r="A132">
        <f>ROW(Source!A205)</f>
        <v>205</v>
      </c>
      <c r="B132">
        <v>38800246</v>
      </c>
      <c r="C132">
        <v>38800237</v>
      </c>
      <c r="D132">
        <v>38464567</v>
      </c>
      <c r="E132">
        <v>1</v>
      </c>
      <c r="F132">
        <v>1</v>
      </c>
      <c r="G132">
        <v>27</v>
      </c>
      <c r="H132">
        <v>2</v>
      </c>
      <c r="I132" t="s">
        <v>412</v>
      </c>
      <c r="J132" t="s">
        <v>413</v>
      </c>
      <c r="K132" t="s">
        <v>414</v>
      </c>
      <c r="L132">
        <v>1368</v>
      </c>
      <c r="N132">
        <v>1011</v>
      </c>
      <c r="O132" t="s">
        <v>393</v>
      </c>
      <c r="P132" t="s">
        <v>393</v>
      </c>
      <c r="Q132">
        <v>1</v>
      </c>
      <c r="X132">
        <v>0.55000000000000004</v>
      </c>
      <c r="Y132">
        <v>0</v>
      </c>
      <c r="Z132">
        <v>744.2</v>
      </c>
      <c r="AA132">
        <v>423.17</v>
      </c>
      <c r="AB132">
        <v>0</v>
      </c>
      <c r="AC132">
        <v>0</v>
      </c>
      <c r="AD132">
        <v>1</v>
      </c>
      <c r="AE132">
        <v>0</v>
      </c>
      <c r="AF132" t="s">
        <v>3</v>
      </c>
      <c r="AG132">
        <v>0.55000000000000004</v>
      </c>
      <c r="AH132">
        <v>2</v>
      </c>
      <c r="AI132">
        <v>38800239</v>
      </c>
      <c r="AJ132">
        <v>136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</row>
    <row r="133" spans="1:44" x14ac:dyDescent="0.2">
      <c r="A133">
        <f>ROW(Source!A205)</f>
        <v>205</v>
      </c>
      <c r="B133">
        <v>38800247</v>
      </c>
      <c r="C133">
        <v>38800237</v>
      </c>
      <c r="D133">
        <v>38464689</v>
      </c>
      <c r="E133">
        <v>1</v>
      </c>
      <c r="F133">
        <v>1</v>
      </c>
      <c r="G133">
        <v>27</v>
      </c>
      <c r="H133">
        <v>2</v>
      </c>
      <c r="I133" t="s">
        <v>441</v>
      </c>
      <c r="J133" t="s">
        <v>442</v>
      </c>
      <c r="K133" t="s">
        <v>443</v>
      </c>
      <c r="L133">
        <v>1368</v>
      </c>
      <c r="N133">
        <v>1011</v>
      </c>
      <c r="O133" t="s">
        <v>393</v>
      </c>
      <c r="P133" t="s">
        <v>393</v>
      </c>
      <c r="Q133">
        <v>1</v>
      </c>
      <c r="X133">
        <v>0.81</v>
      </c>
      <c r="Y133">
        <v>0</v>
      </c>
      <c r="Z133">
        <v>1977.07</v>
      </c>
      <c r="AA133">
        <v>1200.6500000000001</v>
      </c>
      <c r="AB133">
        <v>0</v>
      </c>
      <c r="AC133">
        <v>0</v>
      </c>
      <c r="AD133">
        <v>1</v>
      </c>
      <c r="AE133">
        <v>0</v>
      </c>
      <c r="AF133" t="s">
        <v>3</v>
      </c>
      <c r="AG133">
        <v>0.81</v>
      </c>
      <c r="AH133">
        <v>2</v>
      </c>
      <c r="AI133">
        <v>38800240</v>
      </c>
      <c r="AJ133">
        <v>137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</row>
    <row r="134" spans="1:44" x14ac:dyDescent="0.2">
      <c r="A134">
        <f>ROW(Source!A205)</f>
        <v>205</v>
      </c>
      <c r="B134">
        <v>38800248</v>
      </c>
      <c r="C134">
        <v>38800237</v>
      </c>
      <c r="D134">
        <v>38465034</v>
      </c>
      <c r="E134">
        <v>1</v>
      </c>
      <c r="F134">
        <v>1</v>
      </c>
      <c r="G134">
        <v>27</v>
      </c>
      <c r="H134">
        <v>2</v>
      </c>
      <c r="I134" t="s">
        <v>420</v>
      </c>
      <c r="J134" t="s">
        <v>421</v>
      </c>
      <c r="K134" t="s">
        <v>422</v>
      </c>
      <c r="L134">
        <v>1368</v>
      </c>
      <c r="N134">
        <v>1011</v>
      </c>
      <c r="O134" t="s">
        <v>393</v>
      </c>
      <c r="P134" t="s">
        <v>393</v>
      </c>
      <c r="Q134">
        <v>1</v>
      </c>
      <c r="X134">
        <v>1.08</v>
      </c>
      <c r="Y134">
        <v>0</v>
      </c>
      <c r="Z134">
        <v>3.75</v>
      </c>
      <c r="AA134">
        <v>2.56</v>
      </c>
      <c r="AB134">
        <v>0</v>
      </c>
      <c r="AC134">
        <v>0</v>
      </c>
      <c r="AD134">
        <v>1</v>
      </c>
      <c r="AE134">
        <v>0</v>
      </c>
      <c r="AF134" t="s">
        <v>3</v>
      </c>
      <c r="AG134">
        <v>1.08</v>
      </c>
      <c r="AH134">
        <v>2</v>
      </c>
      <c r="AI134">
        <v>38800241</v>
      </c>
      <c r="AJ134">
        <v>138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44" x14ac:dyDescent="0.2">
      <c r="A135">
        <f>ROW(Source!A205)</f>
        <v>205</v>
      </c>
      <c r="B135">
        <v>38800249</v>
      </c>
      <c r="C135">
        <v>38800237</v>
      </c>
      <c r="D135">
        <v>38465228</v>
      </c>
      <c r="E135">
        <v>1</v>
      </c>
      <c r="F135">
        <v>1</v>
      </c>
      <c r="G135">
        <v>27</v>
      </c>
      <c r="H135">
        <v>3</v>
      </c>
      <c r="I135" t="s">
        <v>444</v>
      </c>
      <c r="J135" t="s">
        <v>445</v>
      </c>
      <c r="K135" t="s">
        <v>446</v>
      </c>
      <c r="L135">
        <v>1348</v>
      </c>
      <c r="N135">
        <v>1009</v>
      </c>
      <c r="O135" t="s">
        <v>155</v>
      </c>
      <c r="P135" t="s">
        <v>155</v>
      </c>
      <c r="Q135">
        <v>1000</v>
      </c>
      <c r="X135">
        <v>6.9000000000000006E-2</v>
      </c>
      <c r="Y135">
        <v>36258.75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0</v>
      </c>
      <c r="AF135" t="s">
        <v>3</v>
      </c>
      <c r="AG135">
        <v>6.9000000000000006E-2</v>
      </c>
      <c r="AH135">
        <v>2</v>
      </c>
      <c r="AI135">
        <v>38800242</v>
      </c>
      <c r="AJ135">
        <v>139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</row>
    <row r="136" spans="1:44" x14ac:dyDescent="0.2">
      <c r="A136">
        <f>ROW(Source!A205)</f>
        <v>205</v>
      </c>
      <c r="B136">
        <v>38800250</v>
      </c>
      <c r="C136">
        <v>38800237</v>
      </c>
      <c r="D136">
        <v>38465769</v>
      </c>
      <c r="E136">
        <v>1</v>
      </c>
      <c r="F136">
        <v>1</v>
      </c>
      <c r="G136">
        <v>27</v>
      </c>
      <c r="H136">
        <v>3</v>
      </c>
      <c r="I136" t="s">
        <v>447</v>
      </c>
      <c r="J136" t="s">
        <v>448</v>
      </c>
      <c r="K136" t="s">
        <v>449</v>
      </c>
      <c r="L136">
        <v>1339</v>
      </c>
      <c r="N136">
        <v>1007</v>
      </c>
      <c r="O136" t="s">
        <v>35</v>
      </c>
      <c r="P136" t="s">
        <v>35</v>
      </c>
      <c r="Q136">
        <v>1</v>
      </c>
      <c r="X136">
        <v>0.01</v>
      </c>
      <c r="Y136">
        <v>7064.05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 t="s">
        <v>3</v>
      </c>
      <c r="AG136">
        <v>0.01</v>
      </c>
      <c r="AH136">
        <v>2</v>
      </c>
      <c r="AI136">
        <v>38800243</v>
      </c>
      <c r="AJ136">
        <v>140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</row>
    <row r="137" spans="1:44" x14ac:dyDescent="0.2">
      <c r="A137">
        <f>ROW(Source!A205)</f>
        <v>205</v>
      </c>
      <c r="B137">
        <v>38800251</v>
      </c>
      <c r="C137">
        <v>38800237</v>
      </c>
      <c r="D137">
        <v>38468294</v>
      </c>
      <c r="E137">
        <v>1</v>
      </c>
      <c r="F137">
        <v>1</v>
      </c>
      <c r="G137">
        <v>27</v>
      </c>
      <c r="H137">
        <v>3</v>
      </c>
      <c r="I137" t="s">
        <v>450</v>
      </c>
      <c r="J137" t="s">
        <v>451</v>
      </c>
      <c r="K137" t="s">
        <v>452</v>
      </c>
      <c r="L137">
        <v>1348</v>
      </c>
      <c r="N137">
        <v>1009</v>
      </c>
      <c r="O137" t="s">
        <v>155</v>
      </c>
      <c r="P137" t="s">
        <v>155</v>
      </c>
      <c r="Q137">
        <v>1000</v>
      </c>
      <c r="X137">
        <v>5.79</v>
      </c>
      <c r="Y137">
        <v>2562.79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  <c r="AF137" t="s">
        <v>3</v>
      </c>
      <c r="AG137">
        <v>5.79</v>
      </c>
      <c r="AH137">
        <v>2</v>
      </c>
      <c r="AI137">
        <v>38800244</v>
      </c>
      <c r="AJ137">
        <v>141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</row>
    <row r="138" spans="1:44" x14ac:dyDescent="0.2">
      <c r="A138">
        <f>ROW(Source!A206)</f>
        <v>206</v>
      </c>
      <c r="B138">
        <v>38800257</v>
      </c>
      <c r="C138">
        <v>38800252</v>
      </c>
      <c r="D138">
        <v>38451941</v>
      </c>
      <c r="E138">
        <v>27</v>
      </c>
      <c r="F138">
        <v>1</v>
      </c>
      <c r="G138">
        <v>27</v>
      </c>
      <c r="H138">
        <v>1</v>
      </c>
      <c r="I138" t="s">
        <v>387</v>
      </c>
      <c r="J138" t="s">
        <v>3</v>
      </c>
      <c r="K138" t="s">
        <v>388</v>
      </c>
      <c r="L138">
        <v>1191</v>
      </c>
      <c r="N138">
        <v>1013</v>
      </c>
      <c r="O138" t="s">
        <v>389</v>
      </c>
      <c r="P138" t="s">
        <v>389</v>
      </c>
      <c r="Q138">
        <v>1</v>
      </c>
      <c r="X138">
        <v>2.31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1</v>
      </c>
      <c r="AF138" t="s">
        <v>3</v>
      </c>
      <c r="AG138">
        <v>2.31</v>
      </c>
      <c r="AH138">
        <v>2</v>
      </c>
      <c r="AI138">
        <v>38800253</v>
      </c>
      <c r="AJ138">
        <v>142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</row>
    <row r="139" spans="1:44" x14ac:dyDescent="0.2">
      <c r="A139">
        <f>ROW(Source!A206)</f>
        <v>206</v>
      </c>
      <c r="B139">
        <v>38800258</v>
      </c>
      <c r="C139">
        <v>38800252</v>
      </c>
      <c r="D139">
        <v>38464567</v>
      </c>
      <c r="E139">
        <v>1</v>
      </c>
      <c r="F139">
        <v>1</v>
      </c>
      <c r="G139">
        <v>27</v>
      </c>
      <c r="H139">
        <v>2</v>
      </c>
      <c r="I139" t="s">
        <v>412</v>
      </c>
      <c r="J139" t="s">
        <v>413</v>
      </c>
      <c r="K139" t="s">
        <v>414</v>
      </c>
      <c r="L139">
        <v>1368</v>
      </c>
      <c r="N139">
        <v>1011</v>
      </c>
      <c r="O139" t="s">
        <v>393</v>
      </c>
      <c r="P139" t="s">
        <v>393</v>
      </c>
      <c r="Q139">
        <v>1</v>
      </c>
      <c r="X139">
        <v>0.14000000000000001</v>
      </c>
      <c r="Y139">
        <v>0</v>
      </c>
      <c r="Z139">
        <v>744.2</v>
      </c>
      <c r="AA139">
        <v>423.17</v>
      </c>
      <c r="AB139">
        <v>0</v>
      </c>
      <c r="AC139">
        <v>0</v>
      </c>
      <c r="AD139">
        <v>1</v>
      </c>
      <c r="AE139">
        <v>0</v>
      </c>
      <c r="AF139" t="s">
        <v>3</v>
      </c>
      <c r="AG139">
        <v>0.14000000000000001</v>
      </c>
      <c r="AH139">
        <v>2</v>
      </c>
      <c r="AI139">
        <v>38800254</v>
      </c>
      <c r="AJ139">
        <v>143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spans="1:44" x14ac:dyDescent="0.2">
      <c r="A140">
        <f>ROW(Source!A206)</f>
        <v>206</v>
      </c>
      <c r="B140">
        <v>38800259</v>
      </c>
      <c r="C140">
        <v>38800252</v>
      </c>
      <c r="D140">
        <v>38465034</v>
      </c>
      <c r="E140">
        <v>1</v>
      </c>
      <c r="F140">
        <v>1</v>
      </c>
      <c r="G140">
        <v>27</v>
      </c>
      <c r="H140">
        <v>2</v>
      </c>
      <c r="I140" t="s">
        <v>420</v>
      </c>
      <c r="J140" t="s">
        <v>421</v>
      </c>
      <c r="K140" t="s">
        <v>422</v>
      </c>
      <c r="L140">
        <v>1368</v>
      </c>
      <c r="N140">
        <v>1011</v>
      </c>
      <c r="O140" t="s">
        <v>393</v>
      </c>
      <c r="P140" t="s">
        <v>393</v>
      </c>
      <c r="Q140">
        <v>1</v>
      </c>
      <c r="X140">
        <v>0.28000000000000003</v>
      </c>
      <c r="Y140">
        <v>0</v>
      </c>
      <c r="Z140">
        <v>3.75</v>
      </c>
      <c r="AA140">
        <v>2.56</v>
      </c>
      <c r="AB140">
        <v>0</v>
      </c>
      <c r="AC140">
        <v>0</v>
      </c>
      <c r="AD140">
        <v>1</v>
      </c>
      <c r="AE140">
        <v>0</v>
      </c>
      <c r="AF140" t="s">
        <v>3</v>
      </c>
      <c r="AG140">
        <v>0.28000000000000003</v>
      </c>
      <c r="AH140">
        <v>2</v>
      </c>
      <c r="AI140">
        <v>38800255</v>
      </c>
      <c r="AJ140">
        <v>144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</row>
    <row r="141" spans="1:44" x14ac:dyDescent="0.2">
      <c r="A141">
        <f>ROW(Source!A206)</f>
        <v>206</v>
      </c>
      <c r="B141">
        <v>38800260</v>
      </c>
      <c r="C141">
        <v>38800252</v>
      </c>
      <c r="D141">
        <v>38468294</v>
      </c>
      <c r="E141">
        <v>1</v>
      </c>
      <c r="F141">
        <v>1</v>
      </c>
      <c r="G141">
        <v>27</v>
      </c>
      <c r="H141">
        <v>3</v>
      </c>
      <c r="I141" t="s">
        <v>450</v>
      </c>
      <c r="J141" t="s">
        <v>451</v>
      </c>
      <c r="K141" t="s">
        <v>452</v>
      </c>
      <c r="L141">
        <v>1348</v>
      </c>
      <c r="N141">
        <v>1009</v>
      </c>
      <c r="O141" t="s">
        <v>155</v>
      </c>
      <c r="P141" t="s">
        <v>155</v>
      </c>
      <c r="Q141">
        <v>1000</v>
      </c>
      <c r="X141">
        <v>1.1599999999999999</v>
      </c>
      <c r="Y141">
        <v>2562.79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 t="s">
        <v>3</v>
      </c>
      <c r="AG141">
        <v>1.1599999999999999</v>
      </c>
      <c r="AH141">
        <v>2</v>
      </c>
      <c r="AI141">
        <v>38800256</v>
      </c>
      <c r="AJ141">
        <v>145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spans="1:44" x14ac:dyDescent="0.2">
      <c r="A142">
        <f>ROW(Source!A207)</f>
        <v>207</v>
      </c>
      <c r="B142">
        <v>38800272</v>
      </c>
      <c r="C142">
        <v>38800261</v>
      </c>
      <c r="D142">
        <v>38451941</v>
      </c>
      <c r="E142">
        <v>27</v>
      </c>
      <c r="F142">
        <v>1</v>
      </c>
      <c r="G142">
        <v>27</v>
      </c>
      <c r="H142">
        <v>1</v>
      </c>
      <c r="I142" t="s">
        <v>387</v>
      </c>
      <c r="J142" t="s">
        <v>3</v>
      </c>
      <c r="K142" t="s">
        <v>388</v>
      </c>
      <c r="L142">
        <v>1191</v>
      </c>
      <c r="N142">
        <v>1013</v>
      </c>
      <c r="O142" t="s">
        <v>389</v>
      </c>
      <c r="P142" t="s">
        <v>389</v>
      </c>
      <c r="Q142">
        <v>1</v>
      </c>
      <c r="X142">
        <v>18.440000000000001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1</v>
      </c>
      <c r="AF142" t="s">
        <v>3</v>
      </c>
      <c r="AG142">
        <v>18.440000000000001</v>
      </c>
      <c r="AH142">
        <v>2</v>
      </c>
      <c r="AI142">
        <v>38800262</v>
      </c>
      <c r="AJ142">
        <v>146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</row>
    <row r="143" spans="1:44" x14ac:dyDescent="0.2">
      <c r="A143">
        <f>ROW(Source!A207)</f>
        <v>207</v>
      </c>
      <c r="B143">
        <v>38800273</v>
      </c>
      <c r="C143">
        <v>38800261</v>
      </c>
      <c r="D143">
        <v>38464899</v>
      </c>
      <c r="E143">
        <v>1</v>
      </c>
      <c r="F143">
        <v>1</v>
      </c>
      <c r="G143">
        <v>27</v>
      </c>
      <c r="H143">
        <v>2</v>
      </c>
      <c r="I143" t="s">
        <v>453</v>
      </c>
      <c r="J143" t="s">
        <v>454</v>
      </c>
      <c r="K143" t="s">
        <v>455</v>
      </c>
      <c r="L143">
        <v>1368</v>
      </c>
      <c r="N143">
        <v>1011</v>
      </c>
      <c r="O143" t="s">
        <v>393</v>
      </c>
      <c r="P143" t="s">
        <v>393</v>
      </c>
      <c r="Q143">
        <v>1</v>
      </c>
      <c r="X143">
        <v>2.64</v>
      </c>
      <c r="Y143">
        <v>0</v>
      </c>
      <c r="Z143">
        <v>531.41</v>
      </c>
      <c r="AA143">
        <v>373.56</v>
      </c>
      <c r="AB143">
        <v>0</v>
      </c>
      <c r="AC143">
        <v>0</v>
      </c>
      <c r="AD143">
        <v>1</v>
      </c>
      <c r="AE143">
        <v>0</v>
      </c>
      <c r="AF143" t="s">
        <v>3</v>
      </c>
      <c r="AG143">
        <v>2.64</v>
      </c>
      <c r="AH143">
        <v>2</v>
      </c>
      <c r="AI143">
        <v>38800263</v>
      </c>
      <c r="AJ143">
        <v>147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</row>
    <row r="144" spans="1:44" x14ac:dyDescent="0.2">
      <c r="A144">
        <f>ROW(Source!A207)</f>
        <v>207</v>
      </c>
      <c r="B144">
        <v>38800274</v>
      </c>
      <c r="C144">
        <v>38800261</v>
      </c>
      <c r="D144">
        <v>38465122</v>
      </c>
      <c r="E144">
        <v>1</v>
      </c>
      <c r="F144">
        <v>1</v>
      </c>
      <c r="G144">
        <v>27</v>
      </c>
      <c r="H144">
        <v>2</v>
      </c>
      <c r="I144" t="s">
        <v>456</v>
      </c>
      <c r="J144" t="s">
        <v>457</v>
      </c>
      <c r="K144" t="s">
        <v>458</v>
      </c>
      <c r="L144">
        <v>1368</v>
      </c>
      <c r="N144">
        <v>1011</v>
      </c>
      <c r="O144" t="s">
        <v>393</v>
      </c>
      <c r="P144" t="s">
        <v>393</v>
      </c>
      <c r="Q144">
        <v>1</v>
      </c>
      <c r="X144">
        <v>1.18</v>
      </c>
      <c r="Y144">
        <v>0</v>
      </c>
      <c r="Z144">
        <v>7.44</v>
      </c>
      <c r="AA144">
        <v>0.98</v>
      </c>
      <c r="AB144">
        <v>0</v>
      </c>
      <c r="AC144">
        <v>0</v>
      </c>
      <c r="AD144">
        <v>1</v>
      </c>
      <c r="AE144">
        <v>0</v>
      </c>
      <c r="AF144" t="s">
        <v>3</v>
      </c>
      <c r="AG144">
        <v>1.18</v>
      </c>
      <c r="AH144">
        <v>2</v>
      </c>
      <c r="AI144">
        <v>38800264</v>
      </c>
      <c r="AJ144">
        <v>148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</row>
    <row r="145" spans="1:44" x14ac:dyDescent="0.2">
      <c r="A145">
        <f>ROW(Source!A207)</f>
        <v>207</v>
      </c>
      <c r="B145">
        <v>38800275</v>
      </c>
      <c r="C145">
        <v>38800261</v>
      </c>
      <c r="D145">
        <v>38464324</v>
      </c>
      <c r="E145">
        <v>1</v>
      </c>
      <c r="F145">
        <v>1</v>
      </c>
      <c r="G145">
        <v>27</v>
      </c>
      <c r="H145">
        <v>2</v>
      </c>
      <c r="I145" t="s">
        <v>459</v>
      </c>
      <c r="J145" t="s">
        <v>460</v>
      </c>
      <c r="K145" t="s">
        <v>461</v>
      </c>
      <c r="L145">
        <v>1368</v>
      </c>
      <c r="N145">
        <v>1011</v>
      </c>
      <c r="O145" t="s">
        <v>393</v>
      </c>
      <c r="P145" t="s">
        <v>393</v>
      </c>
      <c r="Q145">
        <v>1</v>
      </c>
      <c r="X145">
        <v>0.01</v>
      </c>
      <c r="Y145">
        <v>0</v>
      </c>
      <c r="Z145">
        <v>616.73</v>
      </c>
      <c r="AA145">
        <v>511.29</v>
      </c>
      <c r="AB145">
        <v>0</v>
      </c>
      <c r="AC145">
        <v>0</v>
      </c>
      <c r="AD145">
        <v>1</v>
      </c>
      <c r="AE145">
        <v>0</v>
      </c>
      <c r="AF145" t="s">
        <v>3</v>
      </c>
      <c r="AG145">
        <v>0.01</v>
      </c>
      <c r="AH145">
        <v>2</v>
      </c>
      <c r="AI145">
        <v>38800265</v>
      </c>
      <c r="AJ145">
        <v>149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</row>
    <row r="146" spans="1:44" x14ac:dyDescent="0.2">
      <c r="A146">
        <f>ROW(Source!A207)</f>
        <v>207</v>
      </c>
      <c r="B146">
        <v>38800276</v>
      </c>
      <c r="C146">
        <v>38800261</v>
      </c>
      <c r="D146">
        <v>38464508</v>
      </c>
      <c r="E146">
        <v>1</v>
      </c>
      <c r="F146">
        <v>1</v>
      </c>
      <c r="G146">
        <v>27</v>
      </c>
      <c r="H146">
        <v>2</v>
      </c>
      <c r="I146" t="s">
        <v>462</v>
      </c>
      <c r="J146" t="s">
        <v>463</v>
      </c>
      <c r="K146" t="s">
        <v>464</v>
      </c>
      <c r="L146">
        <v>1368</v>
      </c>
      <c r="N146">
        <v>1011</v>
      </c>
      <c r="O146" t="s">
        <v>393</v>
      </c>
      <c r="P146" t="s">
        <v>393</v>
      </c>
      <c r="Q146">
        <v>1</v>
      </c>
      <c r="X146">
        <v>2.64</v>
      </c>
      <c r="Y146">
        <v>0</v>
      </c>
      <c r="Z146">
        <v>454.31</v>
      </c>
      <c r="AA146">
        <v>405.68</v>
      </c>
      <c r="AB146">
        <v>0</v>
      </c>
      <c r="AC146">
        <v>0</v>
      </c>
      <c r="AD146">
        <v>1</v>
      </c>
      <c r="AE146">
        <v>0</v>
      </c>
      <c r="AF146" t="s">
        <v>3</v>
      </c>
      <c r="AG146">
        <v>2.64</v>
      </c>
      <c r="AH146">
        <v>2</v>
      </c>
      <c r="AI146">
        <v>38800266</v>
      </c>
      <c r="AJ146">
        <v>150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</row>
    <row r="147" spans="1:44" x14ac:dyDescent="0.2">
      <c r="A147">
        <f>ROW(Source!A207)</f>
        <v>207</v>
      </c>
      <c r="B147">
        <v>38800277</v>
      </c>
      <c r="C147">
        <v>38800261</v>
      </c>
      <c r="D147">
        <v>38467332</v>
      </c>
      <c r="E147">
        <v>1</v>
      </c>
      <c r="F147">
        <v>1</v>
      </c>
      <c r="G147">
        <v>27</v>
      </c>
      <c r="H147">
        <v>3</v>
      </c>
      <c r="I147" t="s">
        <v>465</v>
      </c>
      <c r="J147" t="s">
        <v>466</v>
      </c>
      <c r="K147" t="s">
        <v>467</v>
      </c>
      <c r="L147">
        <v>1327</v>
      </c>
      <c r="N147">
        <v>1005</v>
      </c>
      <c r="O147" t="s">
        <v>289</v>
      </c>
      <c r="P147" t="s">
        <v>289</v>
      </c>
      <c r="Q147">
        <v>1</v>
      </c>
      <c r="X147">
        <v>5.6</v>
      </c>
      <c r="Y147">
        <v>12.02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  <c r="AF147" t="s">
        <v>3</v>
      </c>
      <c r="AG147">
        <v>5.6</v>
      </c>
      <c r="AH147">
        <v>2</v>
      </c>
      <c r="AI147">
        <v>38800267</v>
      </c>
      <c r="AJ147">
        <v>151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2">
      <c r="A148">
        <f>ROW(Source!A207)</f>
        <v>207</v>
      </c>
      <c r="B148">
        <v>38800278</v>
      </c>
      <c r="C148">
        <v>38800261</v>
      </c>
      <c r="D148">
        <v>38467419</v>
      </c>
      <c r="E148">
        <v>1</v>
      </c>
      <c r="F148">
        <v>1</v>
      </c>
      <c r="G148">
        <v>27</v>
      </c>
      <c r="H148">
        <v>3</v>
      </c>
      <c r="I148" t="s">
        <v>468</v>
      </c>
      <c r="J148" t="s">
        <v>469</v>
      </c>
      <c r="K148" t="s">
        <v>470</v>
      </c>
      <c r="L148">
        <v>1348</v>
      </c>
      <c r="N148">
        <v>1009</v>
      </c>
      <c r="O148" t="s">
        <v>155</v>
      </c>
      <c r="P148" t="s">
        <v>155</v>
      </c>
      <c r="Q148">
        <v>1000</v>
      </c>
      <c r="X148">
        <v>3.15E-3</v>
      </c>
      <c r="Y148">
        <v>343020.03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0</v>
      </c>
      <c r="AF148" t="s">
        <v>3</v>
      </c>
      <c r="AG148">
        <v>3.15E-3</v>
      </c>
      <c r="AH148">
        <v>2</v>
      </c>
      <c r="AI148">
        <v>38800268</v>
      </c>
      <c r="AJ148">
        <v>152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spans="1:44" x14ac:dyDescent="0.2">
      <c r="A149">
        <f>ROW(Source!A207)</f>
        <v>207</v>
      </c>
      <c r="B149">
        <v>38800279</v>
      </c>
      <c r="C149">
        <v>38800261</v>
      </c>
      <c r="D149">
        <v>38467636</v>
      </c>
      <c r="E149">
        <v>1</v>
      </c>
      <c r="F149">
        <v>1</v>
      </c>
      <c r="G149">
        <v>27</v>
      </c>
      <c r="H149">
        <v>3</v>
      </c>
      <c r="I149" t="s">
        <v>471</v>
      </c>
      <c r="J149" t="s">
        <v>472</v>
      </c>
      <c r="K149" t="s">
        <v>473</v>
      </c>
      <c r="L149">
        <v>1346</v>
      </c>
      <c r="N149">
        <v>1009</v>
      </c>
      <c r="O149" t="s">
        <v>474</v>
      </c>
      <c r="P149" t="s">
        <v>474</v>
      </c>
      <c r="Q149">
        <v>1</v>
      </c>
      <c r="X149">
        <v>735</v>
      </c>
      <c r="Y149">
        <v>17.77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0</v>
      </c>
      <c r="AF149" t="s">
        <v>3</v>
      </c>
      <c r="AG149">
        <v>735</v>
      </c>
      <c r="AH149">
        <v>2</v>
      </c>
      <c r="AI149">
        <v>38800269</v>
      </c>
      <c r="AJ149">
        <v>153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1:44" x14ac:dyDescent="0.2">
      <c r="A150">
        <f>ROW(Source!A207)</f>
        <v>207</v>
      </c>
      <c r="B150">
        <v>38800280</v>
      </c>
      <c r="C150">
        <v>38800261</v>
      </c>
      <c r="D150">
        <v>38467643</v>
      </c>
      <c r="E150">
        <v>1</v>
      </c>
      <c r="F150">
        <v>1</v>
      </c>
      <c r="G150">
        <v>27</v>
      </c>
      <c r="H150">
        <v>3</v>
      </c>
      <c r="I150" t="s">
        <v>475</v>
      </c>
      <c r="J150" t="s">
        <v>476</v>
      </c>
      <c r="K150" t="s">
        <v>477</v>
      </c>
      <c r="L150">
        <v>1346</v>
      </c>
      <c r="N150">
        <v>1009</v>
      </c>
      <c r="O150" t="s">
        <v>474</v>
      </c>
      <c r="P150" t="s">
        <v>474</v>
      </c>
      <c r="Q150">
        <v>1</v>
      </c>
      <c r="X150">
        <v>241.5</v>
      </c>
      <c r="Y150">
        <v>202.34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  <c r="AF150" t="s">
        <v>3</v>
      </c>
      <c r="AG150">
        <v>241.5</v>
      </c>
      <c r="AH150">
        <v>2</v>
      </c>
      <c r="AI150">
        <v>38800270</v>
      </c>
      <c r="AJ150">
        <v>154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 x14ac:dyDescent="0.2">
      <c r="A151">
        <f>ROW(Source!A207)</f>
        <v>207</v>
      </c>
      <c r="B151">
        <v>38800281</v>
      </c>
      <c r="C151">
        <v>38800261</v>
      </c>
      <c r="D151">
        <v>38465610</v>
      </c>
      <c r="E151">
        <v>1</v>
      </c>
      <c r="F151">
        <v>1</v>
      </c>
      <c r="G151">
        <v>27</v>
      </c>
      <c r="H151">
        <v>3</v>
      </c>
      <c r="I151" t="s">
        <v>478</v>
      </c>
      <c r="J151" t="s">
        <v>479</v>
      </c>
      <c r="K151" t="s">
        <v>480</v>
      </c>
      <c r="L151">
        <v>1348</v>
      </c>
      <c r="N151">
        <v>1009</v>
      </c>
      <c r="O151" t="s">
        <v>155</v>
      </c>
      <c r="P151" t="s">
        <v>155</v>
      </c>
      <c r="Q151">
        <v>1000</v>
      </c>
      <c r="X151">
        <v>5.2499999999999998E-2</v>
      </c>
      <c r="Y151">
        <v>748299.67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 t="s">
        <v>3</v>
      </c>
      <c r="AG151">
        <v>5.2499999999999998E-2</v>
      </c>
      <c r="AH151">
        <v>2</v>
      </c>
      <c r="AI151">
        <v>38800271</v>
      </c>
      <c r="AJ151">
        <v>155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2">
      <c r="A152">
        <f>ROW(Source!A208)</f>
        <v>208</v>
      </c>
      <c r="B152">
        <v>38800792</v>
      </c>
      <c r="C152">
        <v>38800786</v>
      </c>
      <c r="D152">
        <v>38451941</v>
      </c>
      <c r="E152">
        <v>27</v>
      </c>
      <c r="F152">
        <v>1</v>
      </c>
      <c r="G152">
        <v>27</v>
      </c>
      <c r="H152">
        <v>1</v>
      </c>
      <c r="I152" t="s">
        <v>387</v>
      </c>
      <c r="J152" t="s">
        <v>3</v>
      </c>
      <c r="K152" t="s">
        <v>388</v>
      </c>
      <c r="L152">
        <v>1191</v>
      </c>
      <c r="N152">
        <v>1013</v>
      </c>
      <c r="O152" t="s">
        <v>389</v>
      </c>
      <c r="P152" t="s">
        <v>389</v>
      </c>
      <c r="Q152">
        <v>1</v>
      </c>
      <c r="X152">
        <v>87.4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1</v>
      </c>
      <c r="AF152" t="s">
        <v>3</v>
      </c>
      <c r="AG152">
        <v>87.4</v>
      </c>
      <c r="AH152">
        <v>2</v>
      </c>
      <c r="AI152">
        <v>38800787</v>
      </c>
      <c r="AJ152">
        <v>156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">
      <c r="A153">
        <f>ROW(Source!A208)</f>
        <v>208</v>
      </c>
      <c r="B153">
        <v>38800793</v>
      </c>
      <c r="C153">
        <v>38800786</v>
      </c>
      <c r="D153">
        <v>38464342</v>
      </c>
      <c r="E153">
        <v>1</v>
      </c>
      <c r="F153">
        <v>1</v>
      </c>
      <c r="G153">
        <v>27</v>
      </c>
      <c r="H153">
        <v>2</v>
      </c>
      <c r="I153" t="s">
        <v>520</v>
      </c>
      <c r="J153" t="s">
        <v>521</v>
      </c>
      <c r="K153" t="s">
        <v>522</v>
      </c>
      <c r="L153">
        <v>1368</v>
      </c>
      <c r="N153">
        <v>1011</v>
      </c>
      <c r="O153" t="s">
        <v>393</v>
      </c>
      <c r="P153" t="s">
        <v>393</v>
      </c>
      <c r="Q153">
        <v>1</v>
      </c>
      <c r="X153">
        <v>19</v>
      </c>
      <c r="Y153">
        <v>0</v>
      </c>
      <c r="Z153">
        <v>31</v>
      </c>
      <c r="AA153">
        <v>1.35</v>
      </c>
      <c r="AB153">
        <v>0</v>
      </c>
      <c r="AC153">
        <v>0</v>
      </c>
      <c r="AD153">
        <v>1</v>
      </c>
      <c r="AE153">
        <v>0</v>
      </c>
      <c r="AF153" t="s">
        <v>3</v>
      </c>
      <c r="AG153">
        <v>19</v>
      </c>
      <c r="AH153">
        <v>2</v>
      </c>
      <c r="AI153">
        <v>38800788</v>
      </c>
      <c r="AJ153">
        <v>157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 x14ac:dyDescent="0.2">
      <c r="A154">
        <f>ROW(Source!A208)</f>
        <v>208</v>
      </c>
      <c r="B154">
        <v>38800794</v>
      </c>
      <c r="C154">
        <v>38800786</v>
      </c>
      <c r="D154">
        <v>38466161</v>
      </c>
      <c r="E154">
        <v>1</v>
      </c>
      <c r="F154">
        <v>1</v>
      </c>
      <c r="G154">
        <v>27</v>
      </c>
      <c r="H154">
        <v>3</v>
      </c>
      <c r="I154" t="s">
        <v>523</v>
      </c>
      <c r="J154" t="s">
        <v>524</v>
      </c>
      <c r="K154" t="s">
        <v>525</v>
      </c>
      <c r="L154">
        <v>1348</v>
      </c>
      <c r="N154">
        <v>1009</v>
      </c>
      <c r="O154" t="s">
        <v>155</v>
      </c>
      <c r="P154" t="s">
        <v>155</v>
      </c>
      <c r="Q154">
        <v>1000</v>
      </c>
      <c r="X154">
        <v>3.3E-3</v>
      </c>
      <c r="Y154">
        <v>105084.63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0</v>
      </c>
      <c r="AF154" t="s">
        <v>3</v>
      </c>
      <c r="AG154">
        <v>3.3E-3</v>
      </c>
      <c r="AH154">
        <v>2</v>
      </c>
      <c r="AI154">
        <v>38800789</v>
      </c>
      <c r="AJ154">
        <v>158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</row>
    <row r="155" spans="1:44" x14ac:dyDescent="0.2">
      <c r="A155">
        <f>ROW(Source!A208)</f>
        <v>208</v>
      </c>
      <c r="B155">
        <v>38800795</v>
      </c>
      <c r="C155">
        <v>38800786</v>
      </c>
      <c r="D155">
        <v>38467018</v>
      </c>
      <c r="E155">
        <v>1</v>
      </c>
      <c r="F155">
        <v>1</v>
      </c>
      <c r="G155">
        <v>27</v>
      </c>
      <c r="H155">
        <v>3</v>
      </c>
      <c r="I155" t="s">
        <v>496</v>
      </c>
      <c r="J155" t="s">
        <v>497</v>
      </c>
      <c r="K155" t="s">
        <v>498</v>
      </c>
      <c r="L155">
        <v>1348</v>
      </c>
      <c r="N155">
        <v>1009</v>
      </c>
      <c r="O155" t="s">
        <v>155</v>
      </c>
      <c r="P155" t="s">
        <v>155</v>
      </c>
      <c r="Q155">
        <v>1000</v>
      </c>
      <c r="X155">
        <v>1.4E-3</v>
      </c>
      <c r="Y155">
        <v>110781.14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 t="s">
        <v>3</v>
      </c>
      <c r="AG155">
        <v>1.4E-3</v>
      </c>
      <c r="AH155">
        <v>2</v>
      </c>
      <c r="AI155">
        <v>38800790</v>
      </c>
      <c r="AJ155">
        <v>159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 x14ac:dyDescent="0.2">
      <c r="A156">
        <f>ROW(Source!A208)</f>
        <v>208</v>
      </c>
      <c r="B156">
        <v>38800796</v>
      </c>
      <c r="C156">
        <v>38800786</v>
      </c>
      <c r="D156">
        <v>38469133</v>
      </c>
      <c r="E156">
        <v>1</v>
      </c>
      <c r="F156">
        <v>1</v>
      </c>
      <c r="G156">
        <v>27</v>
      </c>
      <c r="H156">
        <v>3</v>
      </c>
      <c r="I156" t="s">
        <v>526</v>
      </c>
      <c r="J156" t="s">
        <v>527</v>
      </c>
      <c r="K156" t="s">
        <v>528</v>
      </c>
      <c r="L156">
        <v>1348</v>
      </c>
      <c r="N156">
        <v>1009</v>
      </c>
      <c r="O156" t="s">
        <v>155</v>
      </c>
      <c r="P156" t="s">
        <v>155</v>
      </c>
      <c r="Q156">
        <v>1000</v>
      </c>
      <c r="X156">
        <v>1</v>
      </c>
      <c r="Y156">
        <v>75026.559999999998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 t="s">
        <v>3</v>
      </c>
      <c r="AG156">
        <v>1</v>
      </c>
      <c r="AH156">
        <v>2</v>
      </c>
      <c r="AI156">
        <v>38800791</v>
      </c>
      <c r="AJ156">
        <v>160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 x14ac:dyDescent="0.2">
      <c r="A157">
        <f>ROW(Source!A298)</f>
        <v>298</v>
      </c>
      <c r="B157">
        <v>38800654</v>
      </c>
      <c r="C157">
        <v>38800645</v>
      </c>
      <c r="D157">
        <v>38451941</v>
      </c>
      <c r="E157">
        <v>27</v>
      </c>
      <c r="F157">
        <v>1</v>
      </c>
      <c r="G157">
        <v>27</v>
      </c>
      <c r="H157">
        <v>1</v>
      </c>
      <c r="I157" t="s">
        <v>387</v>
      </c>
      <c r="J157" t="s">
        <v>3</v>
      </c>
      <c r="K157" t="s">
        <v>388</v>
      </c>
      <c r="L157">
        <v>1191</v>
      </c>
      <c r="N157">
        <v>1013</v>
      </c>
      <c r="O157" t="s">
        <v>389</v>
      </c>
      <c r="P157" t="s">
        <v>389</v>
      </c>
      <c r="Q157">
        <v>1</v>
      </c>
      <c r="X157">
        <v>36.46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1</v>
      </c>
      <c r="AF157" t="s">
        <v>22</v>
      </c>
      <c r="AG157">
        <v>7.2920000000000007</v>
      </c>
      <c r="AH157">
        <v>2</v>
      </c>
      <c r="AI157">
        <v>38800646</v>
      </c>
      <c r="AJ157">
        <v>181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spans="1:44" x14ac:dyDescent="0.2">
      <c r="A158">
        <f>ROW(Source!A298)</f>
        <v>298</v>
      </c>
      <c r="B158">
        <v>38800655</v>
      </c>
      <c r="C158">
        <v>38800645</v>
      </c>
      <c r="D158">
        <v>38464670</v>
      </c>
      <c r="E158">
        <v>1</v>
      </c>
      <c r="F158">
        <v>1</v>
      </c>
      <c r="G158">
        <v>27</v>
      </c>
      <c r="H158">
        <v>2</v>
      </c>
      <c r="I158" t="s">
        <v>390</v>
      </c>
      <c r="J158" t="s">
        <v>391</v>
      </c>
      <c r="K158" t="s">
        <v>392</v>
      </c>
      <c r="L158">
        <v>1368</v>
      </c>
      <c r="N158">
        <v>1011</v>
      </c>
      <c r="O158" t="s">
        <v>393</v>
      </c>
      <c r="P158" t="s">
        <v>393</v>
      </c>
      <c r="Q158">
        <v>1</v>
      </c>
      <c r="X158">
        <v>0.02</v>
      </c>
      <c r="Y158">
        <v>0</v>
      </c>
      <c r="Z158">
        <v>41.19</v>
      </c>
      <c r="AA158">
        <v>0.34</v>
      </c>
      <c r="AB158">
        <v>0</v>
      </c>
      <c r="AC158">
        <v>0</v>
      </c>
      <c r="AD158">
        <v>1</v>
      </c>
      <c r="AE158">
        <v>0</v>
      </c>
      <c r="AF158" t="s">
        <v>22</v>
      </c>
      <c r="AG158">
        <v>4.0000000000000001E-3</v>
      </c>
      <c r="AH158">
        <v>2</v>
      </c>
      <c r="AI158">
        <v>38800647</v>
      </c>
      <c r="AJ158">
        <v>182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spans="1:44" x14ac:dyDescent="0.2">
      <c r="A159">
        <f>ROW(Source!A298)</f>
        <v>298</v>
      </c>
      <c r="B159">
        <v>38800656</v>
      </c>
      <c r="C159">
        <v>38800645</v>
      </c>
      <c r="D159">
        <v>38465076</v>
      </c>
      <c r="E159">
        <v>1</v>
      </c>
      <c r="F159">
        <v>1</v>
      </c>
      <c r="G159">
        <v>27</v>
      </c>
      <c r="H159">
        <v>2</v>
      </c>
      <c r="I159" t="s">
        <v>394</v>
      </c>
      <c r="J159" t="s">
        <v>395</v>
      </c>
      <c r="K159" t="s">
        <v>396</v>
      </c>
      <c r="L159">
        <v>1368</v>
      </c>
      <c r="N159">
        <v>1011</v>
      </c>
      <c r="O159" t="s">
        <v>393</v>
      </c>
      <c r="P159" t="s">
        <v>393</v>
      </c>
      <c r="Q159">
        <v>1</v>
      </c>
      <c r="X159">
        <v>0.2</v>
      </c>
      <c r="Y159">
        <v>0</v>
      </c>
      <c r="Z159">
        <v>27.02</v>
      </c>
      <c r="AA159">
        <v>0.03</v>
      </c>
      <c r="AB159">
        <v>0</v>
      </c>
      <c r="AC159">
        <v>0</v>
      </c>
      <c r="AD159">
        <v>1</v>
      </c>
      <c r="AE159">
        <v>0</v>
      </c>
      <c r="AF159" t="s">
        <v>22</v>
      </c>
      <c r="AG159">
        <v>4.0000000000000008E-2</v>
      </c>
      <c r="AH159">
        <v>2</v>
      </c>
      <c r="AI159">
        <v>38800648</v>
      </c>
      <c r="AJ159">
        <v>183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</row>
    <row r="160" spans="1:44" x14ac:dyDescent="0.2">
      <c r="A160">
        <f>ROW(Source!A298)</f>
        <v>298</v>
      </c>
      <c r="B160">
        <v>38800657</v>
      </c>
      <c r="C160">
        <v>38800645</v>
      </c>
      <c r="D160">
        <v>38465038</v>
      </c>
      <c r="E160">
        <v>1</v>
      </c>
      <c r="F160">
        <v>1</v>
      </c>
      <c r="G160">
        <v>27</v>
      </c>
      <c r="H160">
        <v>2</v>
      </c>
      <c r="I160" t="s">
        <v>397</v>
      </c>
      <c r="J160" t="s">
        <v>398</v>
      </c>
      <c r="K160" t="s">
        <v>399</v>
      </c>
      <c r="L160">
        <v>1368</v>
      </c>
      <c r="N160">
        <v>1011</v>
      </c>
      <c r="O160" t="s">
        <v>393</v>
      </c>
      <c r="P160" t="s">
        <v>393</v>
      </c>
      <c r="Q160">
        <v>1</v>
      </c>
      <c r="X160">
        <v>3.01</v>
      </c>
      <c r="Y160">
        <v>0</v>
      </c>
      <c r="Z160">
        <v>4.71</v>
      </c>
      <c r="AA160">
        <v>1.1200000000000001</v>
      </c>
      <c r="AB160">
        <v>0</v>
      </c>
      <c r="AC160">
        <v>0</v>
      </c>
      <c r="AD160">
        <v>1</v>
      </c>
      <c r="AE160">
        <v>0</v>
      </c>
      <c r="AF160" t="s">
        <v>22</v>
      </c>
      <c r="AG160">
        <v>0.60199999999999998</v>
      </c>
      <c r="AH160">
        <v>2</v>
      </c>
      <c r="AI160">
        <v>38800649</v>
      </c>
      <c r="AJ160">
        <v>184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</row>
    <row r="161" spans="1:44" x14ac:dyDescent="0.2">
      <c r="A161">
        <f>ROW(Source!A298)</f>
        <v>298</v>
      </c>
      <c r="B161">
        <v>38800658</v>
      </c>
      <c r="C161">
        <v>38800645</v>
      </c>
      <c r="D161">
        <v>38464353</v>
      </c>
      <c r="E161">
        <v>1</v>
      </c>
      <c r="F161">
        <v>1</v>
      </c>
      <c r="G161">
        <v>27</v>
      </c>
      <c r="H161">
        <v>2</v>
      </c>
      <c r="I161" t="s">
        <v>400</v>
      </c>
      <c r="J161" t="s">
        <v>401</v>
      </c>
      <c r="K161" t="s">
        <v>402</v>
      </c>
      <c r="L161">
        <v>1368</v>
      </c>
      <c r="N161">
        <v>1011</v>
      </c>
      <c r="O161" t="s">
        <v>393</v>
      </c>
      <c r="P161" t="s">
        <v>393</v>
      </c>
      <c r="Q161">
        <v>1</v>
      </c>
      <c r="X161">
        <v>1.1000000000000001</v>
      </c>
      <c r="Y161">
        <v>0</v>
      </c>
      <c r="Z161">
        <v>10.39</v>
      </c>
      <c r="AA161">
        <v>0.03</v>
      </c>
      <c r="AB161">
        <v>0</v>
      </c>
      <c r="AC161">
        <v>0</v>
      </c>
      <c r="AD161">
        <v>1</v>
      </c>
      <c r="AE161">
        <v>0</v>
      </c>
      <c r="AF161" t="s">
        <v>22</v>
      </c>
      <c r="AG161">
        <v>0.22000000000000003</v>
      </c>
      <c r="AH161">
        <v>2</v>
      </c>
      <c r="AI161">
        <v>38800650</v>
      </c>
      <c r="AJ161">
        <v>185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</row>
    <row r="162" spans="1:44" x14ac:dyDescent="0.2">
      <c r="A162">
        <f>ROW(Source!A298)</f>
        <v>298</v>
      </c>
      <c r="B162">
        <v>38800659</v>
      </c>
      <c r="C162">
        <v>38800645</v>
      </c>
      <c r="D162">
        <v>38466121</v>
      </c>
      <c r="E162">
        <v>1</v>
      </c>
      <c r="F162">
        <v>1</v>
      </c>
      <c r="G162">
        <v>27</v>
      </c>
      <c r="H162">
        <v>3</v>
      </c>
      <c r="I162" t="s">
        <v>403</v>
      </c>
      <c r="J162" t="s">
        <v>404</v>
      </c>
      <c r="K162" t="s">
        <v>405</v>
      </c>
      <c r="L162">
        <v>1327</v>
      </c>
      <c r="N162">
        <v>1005</v>
      </c>
      <c r="O162" t="s">
        <v>289</v>
      </c>
      <c r="P162" t="s">
        <v>289</v>
      </c>
      <c r="Q162">
        <v>1</v>
      </c>
      <c r="X162">
        <v>100</v>
      </c>
      <c r="Y162">
        <v>397.91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  <c r="AF162" t="s">
        <v>21</v>
      </c>
      <c r="AG162">
        <v>0</v>
      </c>
      <c r="AH162">
        <v>2</v>
      </c>
      <c r="AI162">
        <v>38800651</v>
      </c>
      <c r="AJ162">
        <v>186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</row>
    <row r="163" spans="1:44" x14ac:dyDescent="0.2">
      <c r="A163">
        <f>ROW(Source!A298)</f>
        <v>298</v>
      </c>
      <c r="B163">
        <v>38800660</v>
      </c>
      <c r="C163">
        <v>38800645</v>
      </c>
      <c r="D163">
        <v>38466153</v>
      </c>
      <c r="E163">
        <v>1</v>
      </c>
      <c r="F163">
        <v>1</v>
      </c>
      <c r="G163">
        <v>27</v>
      </c>
      <c r="H163">
        <v>3</v>
      </c>
      <c r="I163" t="s">
        <v>406</v>
      </c>
      <c r="J163" t="s">
        <v>407</v>
      </c>
      <c r="K163" t="s">
        <v>408</v>
      </c>
      <c r="L163">
        <v>1348</v>
      </c>
      <c r="N163">
        <v>1009</v>
      </c>
      <c r="O163" t="s">
        <v>155</v>
      </c>
      <c r="P163" t="s">
        <v>155</v>
      </c>
      <c r="Q163">
        <v>1000</v>
      </c>
      <c r="X163">
        <v>2E-3</v>
      </c>
      <c r="Y163">
        <v>153777.19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0</v>
      </c>
      <c r="AF163" t="s">
        <v>21</v>
      </c>
      <c r="AG163">
        <v>0</v>
      </c>
      <c r="AH163">
        <v>2</v>
      </c>
      <c r="AI163">
        <v>38800652</v>
      </c>
      <c r="AJ163">
        <v>187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</row>
    <row r="164" spans="1:44" x14ac:dyDescent="0.2">
      <c r="A164">
        <f>ROW(Source!A298)</f>
        <v>298</v>
      </c>
      <c r="B164">
        <v>38800661</v>
      </c>
      <c r="C164">
        <v>38800645</v>
      </c>
      <c r="D164">
        <v>38469131</v>
      </c>
      <c r="E164">
        <v>1</v>
      </c>
      <c r="F164">
        <v>1</v>
      </c>
      <c r="G164">
        <v>27</v>
      </c>
      <c r="H164">
        <v>3</v>
      </c>
      <c r="I164" t="s">
        <v>409</v>
      </c>
      <c r="J164" t="s">
        <v>410</v>
      </c>
      <c r="K164" t="s">
        <v>411</v>
      </c>
      <c r="L164">
        <v>1348</v>
      </c>
      <c r="N164">
        <v>1009</v>
      </c>
      <c r="O164" t="s">
        <v>155</v>
      </c>
      <c r="P164" t="s">
        <v>155</v>
      </c>
      <c r="Q164">
        <v>1000</v>
      </c>
      <c r="X164">
        <v>1.0999999999999999E-2</v>
      </c>
      <c r="Y164">
        <v>75026.559999999998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0</v>
      </c>
      <c r="AF164" t="s">
        <v>21</v>
      </c>
      <c r="AG164">
        <v>0</v>
      </c>
      <c r="AH164">
        <v>2</v>
      </c>
      <c r="AI164">
        <v>38800653</v>
      </c>
      <c r="AJ164">
        <v>188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1:44" x14ac:dyDescent="0.2">
      <c r="A165">
        <f>ROW(Source!A299)</f>
        <v>299</v>
      </c>
      <c r="B165">
        <v>38800668</v>
      </c>
      <c r="C165">
        <v>38800662</v>
      </c>
      <c r="D165">
        <v>38451941</v>
      </c>
      <c r="E165">
        <v>27</v>
      </c>
      <c r="F165">
        <v>1</v>
      </c>
      <c r="G165">
        <v>27</v>
      </c>
      <c r="H165">
        <v>1</v>
      </c>
      <c r="I165" t="s">
        <v>387</v>
      </c>
      <c r="J165" t="s">
        <v>3</v>
      </c>
      <c r="K165" t="s">
        <v>388</v>
      </c>
      <c r="L165">
        <v>1191</v>
      </c>
      <c r="N165">
        <v>1013</v>
      </c>
      <c r="O165" t="s">
        <v>389</v>
      </c>
      <c r="P165" t="s">
        <v>389</v>
      </c>
      <c r="Q165">
        <v>1</v>
      </c>
      <c r="X165">
        <v>110.4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1</v>
      </c>
      <c r="AF165" t="s">
        <v>22</v>
      </c>
      <c r="AG165">
        <v>22.080000000000002</v>
      </c>
      <c r="AH165">
        <v>2</v>
      </c>
      <c r="AI165">
        <v>38800663</v>
      </c>
      <c r="AJ165">
        <v>189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</row>
    <row r="166" spans="1:44" x14ac:dyDescent="0.2">
      <c r="A166">
        <f>ROW(Source!A299)</f>
        <v>299</v>
      </c>
      <c r="B166">
        <v>38800669</v>
      </c>
      <c r="C166">
        <v>38800662</v>
      </c>
      <c r="D166">
        <v>38464342</v>
      </c>
      <c r="E166">
        <v>1</v>
      </c>
      <c r="F166">
        <v>1</v>
      </c>
      <c r="G166">
        <v>27</v>
      </c>
      <c r="H166">
        <v>2</v>
      </c>
      <c r="I166" t="s">
        <v>520</v>
      </c>
      <c r="J166" t="s">
        <v>521</v>
      </c>
      <c r="K166" t="s">
        <v>522</v>
      </c>
      <c r="L166">
        <v>1368</v>
      </c>
      <c r="N166">
        <v>1011</v>
      </c>
      <c r="O166" t="s">
        <v>393</v>
      </c>
      <c r="P166" t="s">
        <v>393</v>
      </c>
      <c r="Q166">
        <v>1</v>
      </c>
      <c r="X166">
        <v>24</v>
      </c>
      <c r="Y166">
        <v>0</v>
      </c>
      <c r="Z166">
        <v>31</v>
      </c>
      <c r="AA166">
        <v>1.35</v>
      </c>
      <c r="AB166">
        <v>0</v>
      </c>
      <c r="AC166">
        <v>0</v>
      </c>
      <c r="AD166">
        <v>1</v>
      </c>
      <c r="AE166">
        <v>0</v>
      </c>
      <c r="AF166" t="s">
        <v>22</v>
      </c>
      <c r="AG166">
        <v>4.8000000000000007</v>
      </c>
      <c r="AH166">
        <v>2</v>
      </c>
      <c r="AI166">
        <v>38800664</v>
      </c>
      <c r="AJ166">
        <v>190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spans="1:44" x14ac:dyDescent="0.2">
      <c r="A167">
        <f>ROW(Source!A299)</f>
        <v>299</v>
      </c>
      <c r="B167">
        <v>38800670</v>
      </c>
      <c r="C167">
        <v>38800662</v>
      </c>
      <c r="D167">
        <v>38466161</v>
      </c>
      <c r="E167">
        <v>1</v>
      </c>
      <c r="F167">
        <v>1</v>
      </c>
      <c r="G167">
        <v>27</v>
      </c>
      <c r="H167">
        <v>3</v>
      </c>
      <c r="I167" t="s">
        <v>523</v>
      </c>
      <c r="J167" t="s">
        <v>524</v>
      </c>
      <c r="K167" t="s">
        <v>525</v>
      </c>
      <c r="L167">
        <v>1348</v>
      </c>
      <c r="N167">
        <v>1009</v>
      </c>
      <c r="O167" t="s">
        <v>155</v>
      </c>
      <c r="P167" t="s">
        <v>155</v>
      </c>
      <c r="Q167">
        <v>1000</v>
      </c>
      <c r="X167">
        <v>5.0000000000000001E-3</v>
      </c>
      <c r="Y167">
        <v>105084.63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 t="s">
        <v>21</v>
      </c>
      <c r="AG167">
        <v>0</v>
      </c>
      <c r="AH167">
        <v>2</v>
      </c>
      <c r="AI167">
        <v>38800665</v>
      </c>
      <c r="AJ167">
        <v>191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spans="1:44" x14ac:dyDescent="0.2">
      <c r="A168">
        <f>ROW(Source!A299)</f>
        <v>299</v>
      </c>
      <c r="B168">
        <v>38800671</v>
      </c>
      <c r="C168">
        <v>38800662</v>
      </c>
      <c r="D168">
        <v>38467018</v>
      </c>
      <c r="E168">
        <v>1</v>
      </c>
      <c r="F168">
        <v>1</v>
      </c>
      <c r="G168">
        <v>27</v>
      </c>
      <c r="H168">
        <v>3</v>
      </c>
      <c r="I168" t="s">
        <v>496</v>
      </c>
      <c r="J168" t="s">
        <v>497</v>
      </c>
      <c r="K168" t="s">
        <v>498</v>
      </c>
      <c r="L168">
        <v>1348</v>
      </c>
      <c r="N168">
        <v>1009</v>
      </c>
      <c r="O168" t="s">
        <v>155</v>
      </c>
      <c r="P168" t="s">
        <v>155</v>
      </c>
      <c r="Q168">
        <v>1000</v>
      </c>
      <c r="X168">
        <v>2E-3</v>
      </c>
      <c r="Y168">
        <v>110781.14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0</v>
      </c>
      <c r="AF168" t="s">
        <v>21</v>
      </c>
      <c r="AG168">
        <v>0</v>
      </c>
      <c r="AH168">
        <v>2</v>
      </c>
      <c r="AI168">
        <v>38800666</v>
      </c>
      <c r="AJ168">
        <v>192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spans="1:44" x14ac:dyDescent="0.2">
      <c r="A169">
        <f>ROW(Source!A299)</f>
        <v>299</v>
      </c>
      <c r="B169">
        <v>38800672</v>
      </c>
      <c r="C169">
        <v>38800662</v>
      </c>
      <c r="D169">
        <v>38469130</v>
      </c>
      <c r="E169">
        <v>1</v>
      </c>
      <c r="F169">
        <v>1</v>
      </c>
      <c r="G169">
        <v>27</v>
      </c>
      <c r="H169">
        <v>3</v>
      </c>
      <c r="I169" t="s">
        <v>572</v>
      </c>
      <c r="J169" t="s">
        <v>573</v>
      </c>
      <c r="K169" t="s">
        <v>574</v>
      </c>
      <c r="L169">
        <v>1348</v>
      </c>
      <c r="N169">
        <v>1009</v>
      </c>
      <c r="O169" t="s">
        <v>155</v>
      </c>
      <c r="P169" t="s">
        <v>155</v>
      </c>
      <c r="Q169">
        <v>1000</v>
      </c>
      <c r="X169">
        <v>1</v>
      </c>
      <c r="Y169">
        <v>79722.539999999994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0</v>
      </c>
      <c r="AF169" t="s">
        <v>21</v>
      </c>
      <c r="AG169">
        <v>0</v>
      </c>
      <c r="AH169">
        <v>2</v>
      </c>
      <c r="AI169">
        <v>38800667</v>
      </c>
      <c r="AJ169">
        <v>193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1:44" x14ac:dyDescent="0.2">
      <c r="A170">
        <f>ROW(Source!A300)</f>
        <v>300</v>
      </c>
      <c r="B170">
        <v>38800632</v>
      </c>
      <c r="C170">
        <v>38800627</v>
      </c>
      <c r="D170">
        <v>38451941</v>
      </c>
      <c r="E170">
        <v>25</v>
      </c>
      <c r="F170">
        <v>1</v>
      </c>
      <c r="G170">
        <v>27</v>
      </c>
      <c r="H170">
        <v>1</v>
      </c>
      <c r="I170" t="s">
        <v>387</v>
      </c>
      <c r="J170" t="s">
        <v>3</v>
      </c>
      <c r="K170" t="s">
        <v>388</v>
      </c>
      <c r="L170">
        <v>1191</v>
      </c>
      <c r="N170">
        <v>1013</v>
      </c>
      <c r="O170" t="s">
        <v>389</v>
      </c>
      <c r="P170" t="s">
        <v>389</v>
      </c>
      <c r="Q170">
        <v>1</v>
      </c>
      <c r="X170">
        <v>38.979999999999997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1</v>
      </c>
      <c r="AF170" t="s">
        <v>3</v>
      </c>
      <c r="AG170">
        <v>38.979999999999997</v>
      </c>
      <c r="AH170">
        <v>2</v>
      </c>
      <c r="AI170">
        <v>38800628</v>
      </c>
      <c r="AJ170">
        <v>194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1:44" x14ac:dyDescent="0.2">
      <c r="A171">
        <f>ROW(Source!A300)</f>
        <v>300</v>
      </c>
      <c r="B171">
        <v>38800633</v>
      </c>
      <c r="C171">
        <v>38800627</v>
      </c>
      <c r="D171">
        <v>37927811</v>
      </c>
      <c r="E171">
        <v>1</v>
      </c>
      <c r="F171">
        <v>1</v>
      </c>
      <c r="G171">
        <v>27</v>
      </c>
      <c r="H171">
        <v>2</v>
      </c>
      <c r="I171" t="s">
        <v>575</v>
      </c>
      <c r="J171" t="s">
        <v>576</v>
      </c>
      <c r="K171" t="s">
        <v>577</v>
      </c>
      <c r="L171">
        <v>1368</v>
      </c>
      <c r="N171">
        <v>1011</v>
      </c>
      <c r="O171" t="s">
        <v>393</v>
      </c>
      <c r="P171" t="s">
        <v>393</v>
      </c>
      <c r="Q171">
        <v>1</v>
      </c>
      <c r="X171">
        <v>5.28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0</v>
      </c>
      <c r="AF171" t="s">
        <v>3</v>
      </c>
      <c r="AG171">
        <v>5.28</v>
      </c>
      <c r="AH171">
        <v>2</v>
      </c>
      <c r="AI171">
        <v>38800629</v>
      </c>
      <c r="AJ171">
        <v>195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</row>
    <row r="172" spans="1:44" x14ac:dyDescent="0.2">
      <c r="A172">
        <f>ROW(Source!A300)</f>
        <v>300</v>
      </c>
      <c r="B172">
        <v>38800634</v>
      </c>
      <c r="C172">
        <v>38800627</v>
      </c>
      <c r="D172">
        <v>37927770</v>
      </c>
      <c r="E172">
        <v>1</v>
      </c>
      <c r="F172">
        <v>1</v>
      </c>
      <c r="G172">
        <v>27</v>
      </c>
      <c r="H172">
        <v>2</v>
      </c>
      <c r="I172" t="s">
        <v>538</v>
      </c>
      <c r="J172" t="s">
        <v>578</v>
      </c>
      <c r="K172" t="s">
        <v>540</v>
      </c>
      <c r="L172">
        <v>1368</v>
      </c>
      <c r="N172">
        <v>1011</v>
      </c>
      <c r="O172" t="s">
        <v>393</v>
      </c>
      <c r="P172" t="s">
        <v>393</v>
      </c>
      <c r="Q172">
        <v>1</v>
      </c>
      <c r="X172">
        <v>0.21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  <c r="AF172" t="s">
        <v>3</v>
      </c>
      <c r="AG172">
        <v>0.21</v>
      </c>
      <c r="AH172">
        <v>2</v>
      </c>
      <c r="AI172">
        <v>38800630</v>
      </c>
      <c r="AJ172">
        <v>196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spans="1:44" x14ac:dyDescent="0.2">
      <c r="A173">
        <f>ROW(Source!A300)</f>
        <v>300</v>
      </c>
      <c r="B173">
        <v>38800635</v>
      </c>
      <c r="C173">
        <v>38800627</v>
      </c>
      <c r="D173">
        <v>37927788</v>
      </c>
      <c r="E173">
        <v>1</v>
      </c>
      <c r="F173">
        <v>1</v>
      </c>
      <c r="G173">
        <v>27</v>
      </c>
      <c r="H173">
        <v>2</v>
      </c>
      <c r="I173" t="s">
        <v>579</v>
      </c>
      <c r="J173" t="s">
        <v>580</v>
      </c>
      <c r="K173" t="s">
        <v>581</v>
      </c>
      <c r="L173">
        <v>1368</v>
      </c>
      <c r="N173">
        <v>1011</v>
      </c>
      <c r="O173" t="s">
        <v>393</v>
      </c>
      <c r="P173" t="s">
        <v>393</v>
      </c>
      <c r="Q173">
        <v>1</v>
      </c>
      <c r="X173">
        <v>1.38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  <c r="AF173" t="s">
        <v>3</v>
      </c>
      <c r="AG173">
        <v>1.38</v>
      </c>
      <c r="AH173">
        <v>2</v>
      </c>
      <c r="AI173">
        <v>38800631</v>
      </c>
      <c r="AJ173">
        <v>197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</row>
    <row r="174" spans="1:44" x14ac:dyDescent="0.2">
      <c r="A174">
        <f>ROW(Source!A301)</f>
        <v>301</v>
      </c>
      <c r="B174">
        <v>38800641</v>
      </c>
      <c r="C174">
        <v>38800636</v>
      </c>
      <c r="D174">
        <v>38451941</v>
      </c>
      <c r="E174">
        <v>25</v>
      </c>
      <c r="F174">
        <v>1</v>
      </c>
      <c r="G174">
        <v>27</v>
      </c>
      <c r="H174">
        <v>1</v>
      </c>
      <c r="I174" t="s">
        <v>387</v>
      </c>
      <c r="J174" t="s">
        <v>3</v>
      </c>
      <c r="K174" t="s">
        <v>388</v>
      </c>
      <c r="L174">
        <v>1191</v>
      </c>
      <c r="N174">
        <v>1013</v>
      </c>
      <c r="O174" t="s">
        <v>389</v>
      </c>
      <c r="P174" t="s">
        <v>389</v>
      </c>
      <c r="Q174">
        <v>1</v>
      </c>
      <c r="X174">
        <v>212.41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1</v>
      </c>
      <c r="AF174" t="s">
        <v>3</v>
      </c>
      <c r="AG174">
        <v>212.41</v>
      </c>
      <c r="AH174">
        <v>2</v>
      </c>
      <c r="AI174">
        <v>38800637</v>
      </c>
      <c r="AJ174">
        <v>198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</row>
    <row r="175" spans="1:44" x14ac:dyDescent="0.2">
      <c r="A175">
        <f>ROW(Source!A301)</f>
        <v>301</v>
      </c>
      <c r="B175">
        <v>38800642</v>
      </c>
      <c r="C175">
        <v>38800636</v>
      </c>
      <c r="D175">
        <v>37927264</v>
      </c>
      <c r="E175">
        <v>1</v>
      </c>
      <c r="F175">
        <v>1</v>
      </c>
      <c r="G175">
        <v>27</v>
      </c>
      <c r="H175">
        <v>2</v>
      </c>
      <c r="I175" t="s">
        <v>582</v>
      </c>
      <c r="J175" t="s">
        <v>583</v>
      </c>
      <c r="K175" t="s">
        <v>584</v>
      </c>
      <c r="L175">
        <v>1368</v>
      </c>
      <c r="N175">
        <v>1011</v>
      </c>
      <c r="O175" t="s">
        <v>393</v>
      </c>
      <c r="P175" t="s">
        <v>393</v>
      </c>
      <c r="Q175">
        <v>1</v>
      </c>
      <c r="X175">
        <v>27.5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  <c r="AF175" t="s">
        <v>3</v>
      </c>
      <c r="AG175">
        <v>27.5</v>
      </c>
      <c r="AH175">
        <v>2</v>
      </c>
      <c r="AI175">
        <v>38800638</v>
      </c>
      <c r="AJ175">
        <v>199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</row>
    <row r="176" spans="1:44" x14ac:dyDescent="0.2">
      <c r="A176">
        <f>ROW(Source!A301)</f>
        <v>301</v>
      </c>
      <c r="B176">
        <v>38800643</v>
      </c>
      <c r="C176">
        <v>38800636</v>
      </c>
      <c r="D176">
        <v>37927768</v>
      </c>
      <c r="E176">
        <v>1</v>
      </c>
      <c r="F176">
        <v>1</v>
      </c>
      <c r="G176">
        <v>27</v>
      </c>
      <c r="H176">
        <v>2</v>
      </c>
      <c r="I176" t="s">
        <v>415</v>
      </c>
      <c r="J176" t="s">
        <v>585</v>
      </c>
      <c r="K176" t="s">
        <v>417</v>
      </c>
      <c r="L176">
        <v>1368</v>
      </c>
      <c r="N176">
        <v>1011</v>
      </c>
      <c r="O176" t="s">
        <v>393</v>
      </c>
      <c r="P176" t="s">
        <v>393</v>
      </c>
      <c r="Q176">
        <v>1</v>
      </c>
      <c r="X176">
        <v>27.5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 t="s">
        <v>3</v>
      </c>
      <c r="AG176">
        <v>27.5</v>
      </c>
      <c r="AH176">
        <v>2</v>
      </c>
      <c r="AI176">
        <v>38800639</v>
      </c>
      <c r="AJ176">
        <v>200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 x14ac:dyDescent="0.2">
      <c r="A177">
        <f>ROW(Source!A301)</f>
        <v>301</v>
      </c>
      <c r="B177">
        <v>38800644</v>
      </c>
      <c r="C177">
        <v>38800636</v>
      </c>
      <c r="D177">
        <v>38453717</v>
      </c>
      <c r="E177">
        <v>25</v>
      </c>
      <c r="F177">
        <v>1</v>
      </c>
      <c r="G177">
        <v>27</v>
      </c>
      <c r="H177">
        <v>3</v>
      </c>
      <c r="I177" t="s">
        <v>418</v>
      </c>
      <c r="J177" t="s">
        <v>3</v>
      </c>
      <c r="K177" t="s">
        <v>419</v>
      </c>
      <c r="L177">
        <v>1348</v>
      </c>
      <c r="N177">
        <v>1009</v>
      </c>
      <c r="O177" t="s">
        <v>155</v>
      </c>
      <c r="P177" t="s">
        <v>155</v>
      </c>
      <c r="Q177">
        <v>1000</v>
      </c>
      <c r="X177">
        <v>20.61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  <c r="AF177" t="s">
        <v>3</v>
      </c>
      <c r="AG177">
        <v>20.61</v>
      </c>
      <c r="AH177">
        <v>2</v>
      </c>
      <c r="AI177">
        <v>38800640</v>
      </c>
      <c r="AJ177">
        <v>201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</row>
    <row r="178" spans="1:44" x14ac:dyDescent="0.2">
      <c r="A178">
        <f>ROW(Source!A337)</f>
        <v>337</v>
      </c>
      <c r="B178">
        <v>38800739</v>
      </c>
      <c r="C178">
        <v>38800731</v>
      </c>
      <c r="D178">
        <v>38451941</v>
      </c>
      <c r="E178">
        <v>27</v>
      </c>
      <c r="F178">
        <v>1</v>
      </c>
      <c r="G178">
        <v>27</v>
      </c>
      <c r="H178">
        <v>1</v>
      </c>
      <c r="I178" t="s">
        <v>387</v>
      </c>
      <c r="J178" t="s">
        <v>3</v>
      </c>
      <c r="K178" t="s">
        <v>388</v>
      </c>
      <c r="L178">
        <v>1191</v>
      </c>
      <c r="N178">
        <v>1013</v>
      </c>
      <c r="O178" t="s">
        <v>389</v>
      </c>
      <c r="P178" t="s">
        <v>389</v>
      </c>
      <c r="Q178">
        <v>1</v>
      </c>
      <c r="X178">
        <v>16.440000000000001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1</v>
      </c>
      <c r="AF178" t="s">
        <v>3</v>
      </c>
      <c r="AG178">
        <v>16.440000000000001</v>
      </c>
      <c r="AH178">
        <v>2</v>
      </c>
      <c r="AI178">
        <v>38800732</v>
      </c>
      <c r="AJ178">
        <v>202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</row>
    <row r="179" spans="1:44" x14ac:dyDescent="0.2">
      <c r="A179">
        <f>ROW(Source!A337)</f>
        <v>337</v>
      </c>
      <c r="B179">
        <v>38800740</v>
      </c>
      <c r="C179">
        <v>38800731</v>
      </c>
      <c r="D179">
        <v>38464567</v>
      </c>
      <c r="E179">
        <v>1</v>
      </c>
      <c r="F179">
        <v>1</v>
      </c>
      <c r="G179">
        <v>27</v>
      </c>
      <c r="H179">
        <v>2</v>
      </c>
      <c r="I179" t="s">
        <v>412</v>
      </c>
      <c r="J179" t="s">
        <v>413</v>
      </c>
      <c r="K179" t="s">
        <v>414</v>
      </c>
      <c r="L179">
        <v>1368</v>
      </c>
      <c r="N179">
        <v>1011</v>
      </c>
      <c r="O179" t="s">
        <v>393</v>
      </c>
      <c r="P179" t="s">
        <v>393</v>
      </c>
      <c r="Q179">
        <v>1</v>
      </c>
      <c r="X179">
        <v>0.55000000000000004</v>
      </c>
      <c r="Y179">
        <v>0</v>
      </c>
      <c r="Z179">
        <v>744.2</v>
      </c>
      <c r="AA179">
        <v>423.17</v>
      </c>
      <c r="AB179">
        <v>0</v>
      </c>
      <c r="AC179">
        <v>0</v>
      </c>
      <c r="AD179">
        <v>1</v>
      </c>
      <c r="AE179">
        <v>0</v>
      </c>
      <c r="AF179" t="s">
        <v>3</v>
      </c>
      <c r="AG179">
        <v>0.55000000000000004</v>
      </c>
      <c r="AH179">
        <v>2</v>
      </c>
      <c r="AI179">
        <v>38800733</v>
      </c>
      <c r="AJ179">
        <v>203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</row>
    <row r="180" spans="1:44" x14ac:dyDescent="0.2">
      <c r="A180">
        <f>ROW(Source!A337)</f>
        <v>337</v>
      </c>
      <c r="B180">
        <v>38800741</v>
      </c>
      <c r="C180">
        <v>38800731</v>
      </c>
      <c r="D180">
        <v>38464689</v>
      </c>
      <c r="E180">
        <v>1</v>
      </c>
      <c r="F180">
        <v>1</v>
      </c>
      <c r="G180">
        <v>27</v>
      </c>
      <c r="H180">
        <v>2</v>
      </c>
      <c r="I180" t="s">
        <v>441</v>
      </c>
      <c r="J180" t="s">
        <v>442</v>
      </c>
      <c r="K180" t="s">
        <v>443</v>
      </c>
      <c r="L180">
        <v>1368</v>
      </c>
      <c r="N180">
        <v>1011</v>
      </c>
      <c r="O180" t="s">
        <v>393</v>
      </c>
      <c r="P180" t="s">
        <v>393</v>
      </c>
      <c r="Q180">
        <v>1</v>
      </c>
      <c r="X180">
        <v>0.81</v>
      </c>
      <c r="Y180">
        <v>0</v>
      </c>
      <c r="Z180">
        <v>1977.07</v>
      </c>
      <c r="AA180">
        <v>1200.6500000000001</v>
      </c>
      <c r="AB180">
        <v>0</v>
      </c>
      <c r="AC180">
        <v>0</v>
      </c>
      <c r="AD180">
        <v>1</v>
      </c>
      <c r="AE180">
        <v>0</v>
      </c>
      <c r="AF180" t="s">
        <v>3</v>
      </c>
      <c r="AG180">
        <v>0.81</v>
      </c>
      <c r="AH180">
        <v>2</v>
      </c>
      <c r="AI180">
        <v>38800734</v>
      </c>
      <c r="AJ180">
        <v>204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</row>
    <row r="181" spans="1:44" x14ac:dyDescent="0.2">
      <c r="A181">
        <f>ROW(Source!A337)</f>
        <v>337</v>
      </c>
      <c r="B181">
        <v>38800742</v>
      </c>
      <c r="C181">
        <v>38800731</v>
      </c>
      <c r="D181">
        <v>38465034</v>
      </c>
      <c r="E181">
        <v>1</v>
      </c>
      <c r="F181">
        <v>1</v>
      </c>
      <c r="G181">
        <v>27</v>
      </c>
      <c r="H181">
        <v>2</v>
      </c>
      <c r="I181" t="s">
        <v>420</v>
      </c>
      <c r="J181" t="s">
        <v>421</v>
      </c>
      <c r="K181" t="s">
        <v>422</v>
      </c>
      <c r="L181">
        <v>1368</v>
      </c>
      <c r="N181">
        <v>1011</v>
      </c>
      <c r="O181" t="s">
        <v>393</v>
      </c>
      <c r="P181" t="s">
        <v>393</v>
      </c>
      <c r="Q181">
        <v>1</v>
      </c>
      <c r="X181">
        <v>1.08</v>
      </c>
      <c r="Y181">
        <v>0</v>
      </c>
      <c r="Z181">
        <v>3.75</v>
      </c>
      <c r="AA181">
        <v>2.56</v>
      </c>
      <c r="AB181">
        <v>0</v>
      </c>
      <c r="AC181">
        <v>0</v>
      </c>
      <c r="AD181">
        <v>1</v>
      </c>
      <c r="AE181">
        <v>0</v>
      </c>
      <c r="AF181" t="s">
        <v>3</v>
      </c>
      <c r="AG181">
        <v>1.08</v>
      </c>
      <c r="AH181">
        <v>2</v>
      </c>
      <c r="AI181">
        <v>38800735</v>
      </c>
      <c r="AJ181">
        <v>205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</row>
    <row r="182" spans="1:44" x14ac:dyDescent="0.2">
      <c r="A182">
        <f>ROW(Source!A337)</f>
        <v>337</v>
      </c>
      <c r="B182">
        <v>38800743</v>
      </c>
      <c r="C182">
        <v>38800731</v>
      </c>
      <c r="D182">
        <v>38465228</v>
      </c>
      <c r="E182">
        <v>1</v>
      </c>
      <c r="F182">
        <v>1</v>
      </c>
      <c r="G182">
        <v>27</v>
      </c>
      <c r="H182">
        <v>3</v>
      </c>
      <c r="I182" t="s">
        <v>444</v>
      </c>
      <c r="J182" t="s">
        <v>445</v>
      </c>
      <c r="K182" t="s">
        <v>446</v>
      </c>
      <c r="L182">
        <v>1348</v>
      </c>
      <c r="N182">
        <v>1009</v>
      </c>
      <c r="O182" t="s">
        <v>155</v>
      </c>
      <c r="P182" t="s">
        <v>155</v>
      </c>
      <c r="Q182">
        <v>1000</v>
      </c>
      <c r="X182">
        <v>6.9000000000000006E-2</v>
      </c>
      <c r="Y182">
        <v>36258.75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  <c r="AF182" t="s">
        <v>3</v>
      </c>
      <c r="AG182">
        <v>6.9000000000000006E-2</v>
      </c>
      <c r="AH182">
        <v>2</v>
      </c>
      <c r="AI182">
        <v>38800736</v>
      </c>
      <c r="AJ182">
        <v>206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</row>
    <row r="183" spans="1:44" x14ac:dyDescent="0.2">
      <c r="A183">
        <f>ROW(Source!A337)</f>
        <v>337</v>
      </c>
      <c r="B183">
        <v>38800744</v>
      </c>
      <c r="C183">
        <v>38800731</v>
      </c>
      <c r="D183">
        <v>38465769</v>
      </c>
      <c r="E183">
        <v>1</v>
      </c>
      <c r="F183">
        <v>1</v>
      </c>
      <c r="G183">
        <v>27</v>
      </c>
      <c r="H183">
        <v>3</v>
      </c>
      <c r="I183" t="s">
        <v>447</v>
      </c>
      <c r="J183" t="s">
        <v>448</v>
      </c>
      <c r="K183" t="s">
        <v>449</v>
      </c>
      <c r="L183">
        <v>1339</v>
      </c>
      <c r="N183">
        <v>1007</v>
      </c>
      <c r="O183" t="s">
        <v>35</v>
      </c>
      <c r="P183" t="s">
        <v>35</v>
      </c>
      <c r="Q183">
        <v>1</v>
      </c>
      <c r="X183">
        <v>0.01</v>
      </c>
      <c r="Y183">
        <v>7064.05</v>
      </c>
      <c r="Z183">
        <v>0</v>
      </c>
      <c r="AA183">
        <v>0</v>
      </c>
      <c r="AB183">
        <v>0</v>
      </c>
      <c r="AC183">
        <v>0</v>
      </c>
      <c r="AD183">
        <v>1</v>
      </c>
      <c r="AE183">
        <v>0</v>
      </c>
      <c r="AF183" t="s">
        <v>3</v>
      </c>
      <c r="AG183">
        <v>0.01</v>
      </c>
      <c r="AH183">
        <v>2</v>
      </c>
      <c r="AI183">
        <v>38800737</v>
      </c>
      <c r="AJ183">
        <v>207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</row>
    <row r="184" spans="1:44" x14ac:dyDescent="0.2">
      <c r="A184">
        <f>ROW(Source!A337)</f>
        <v>337</v>
      </c>
      <c r="B184">
        <v>38800745</v>
      </c>
      <c r="C184">
        <v>38800731</v>
      </c>
      <c r="D184">
        <v>38468294</v>
      </c>
      <c r="E184">
        <v>1</v>
      </c>
      <c r="F184">
        <v>1</v>
      </c>
      <c r="G184">
        <v>27</v>
      </c>
      <c r="H184">
        <v>3</v>
      </c>
      <c r="I184" t="s">
        <v>450</v>
      </c>
      <c r="J184" t="s">
        <v>451</v>
      </c>
      <c r="K184" t="s">
        <v>452</v>
      </c>
      <c r="L184">
        <v>1348</v>
      </c>
      <c r="N184">
        <v>1009</v>
      </c>
      <c r="O184" t="s">
        <v>155</v>
      </c>
      <c r="P184" t="s">
        <v>155</v>
      </c>
      <c r="Q184">
        <v>1000</v>
      </c>
      <c r="X184">
        <v>5.79</v>
      </c>
      <c r="Y184">
        <v>2562.79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0</v>
      </c>
      <c r="AF184" t="s">
        <v>3</v>
      </c>
      <c r="AG184">
        <v>5.79</v>
      </c>
      <c r="AH184">
        <v>2</v>
      </c>
      <c r="AI184">
        <v>38800738</v>
      </c>
      <c r="AJ184">
        <v>208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</row>
    <row r="185" spans="1:44" x14ac:dyDescent="0.2">
      <c r="A185">
        <f>ROW(Source!A338)</f>
        <v>338</v>
      </c>
      <c r="B185">
        <v>38800751</v>
      </c>
      <c r="C185">
        <v>38800746</v>
      </c>
      <c r="D185">
        <v>38451941</v>
      </c>
      <c r="E185">
        <v>27</v>
      </c>
      <c r="F185">
        <v>1</v>
      </c>
      <c r="G185">
        <v>27</v>
      </c>
      <c r="H185">
        <v>1</v>
      </c>
      <c r="I185" t="s">
        <v>387</v>
      </c>
      <c r="J185" t="s">
        <v>3</v>
      </c>
      <c r="K185" t="s">
        <v>388</v>
      </c>
      <c r="L185">
        <v>1191</v>
      </c>
      <c r="N185">
        <v>1013</v>
      </c>
      <c r="O185" t="s">
        <v>389</v>
      </c>
      <c r="P185" t="s">
        <v>389</v>
      </c>
      <c r="Q185">
        <v>1</v>
      </c>
      <c r="X185">
        <v>2.31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1</v>
      </c>
      <c r="AF185" t="s">
        <v>3</v>
      </c>
      <c r="AG185">
        <v>2.31</v>
      </c>
      <c r="AH185">
        <v>2</v>
      </c>
      <c r="AI185">
        <v>38800747</v>
      </c>
      <c r="AJ185">
        <v>209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</row>
    <row r="186" spans="1:44" x14ac:dyDescent="0.2">
      <c r="A186">
        <f>ROW(Source!A338)</f>
        <v>338</v>
      </c>
      <c r="B186">
        <v>38800752</v>
      </c>
      <c r="C186">
        <v>38800746</v>
      </c>
      <c r="D186">
        <v>38464567</v>
      </c>
      <c r="E186">
        <v>1</v>
      </c>
      <c r="F186">
        <v>1</v>
      </c>
      <c r="G186">
        <v>27</v>
      </c>
      <c r="H186">
        <v>2</v>
      </c>
      <c r="I186" t="s">
        <v>412</v>
      </c>
      <c r="J186" t="s">
        <v>413</v>
      </c>
      <c r="K186" t="s">
        <v>414</v>
      </c>
      <c r="L186">
        <v>1368</v>
      </c>
      <c r="N186">
        <v>1011</v>
      </c>
      <c r="O186" t="s">
        <v>393</v>
      </c>
      <c r="P186" t="s">
        <v>393</v>
      </c>
      <c r="Q186">
        <v>1</v>
      </c>
      <c r="X186">
        <v>0.14000000000000001</v>
      </c>
      <c r="Y186">
        <v>0</v>
      </c>
      <c r="Z186">
        <v>744.2</v>
      </c>
      <c r="AA186">
        <v>423.17</v>
      </c>
      <c r="AB186">
        <v>0</v>
      </c>
      <c r="AC186">
        <v>0</v>
      </c>
      <c r="AD186">
        <v>1</v>
      </c>
      <c r="AE186">
        <v>0</v>
      </c>
      <c r="AF186" t="s">
        <v>3</v>
      </c>
      <c r="AG186">
        <v>0.14000000000000001</v>
      </c>
      <c r="AH186">
        <v>2</v>
      </c>
      <c r="AI186">
        <v>38800748</v>
      </c>
      <c r="AJ186">
        <v>210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</row>
    <row r="187" spans="1:44" x14ac:dyDescent="0.2">
      <c r="A187">
        <f>ROW(Source!A338)</f>
        <v>338</v>
      </c>
      <c r="B187">
        <v>38800753</v>
      </c>
      <c r="C187">
        <v>38800746</v>
      </c>
      <c r="D187">
        <v>38465034</v>
      </c>
      <c r="E187">
        <v>1</v>
      </c>
      <c r="F187">
        <v>1</v>
      </c>
      <c r="G187">
        <v>27</v>
      </c>
      <c r="H187">
        <v>2</v>
      </c>
      <c r="I187" t="s">
        <v>420</v>
      </c>
      <c r="J187" t="s">
        <v>421</v>
      </c>
      <c r="K187" t="s">
        <v>422</v>
      </c>
      <c r="L187">
        <v>1368</v>
      </c>
      <c r="N187">
        <v>1011</v>
      </c>
      <c r="O187" t="s">
        <v>393</v>
      </c>
      <c r="P187" t="s">
        <v>393</v>
      </c>
      <c r="Q187">
        <v>1</v>
      </c>
      <c r="X187">
        <v>0.28000000000000003</v>
      </c>
      <c r="Y187">
        <v>0</v>
      </c>
      <c r="Z187">
        <v>3.75</v>
      </c>
      <c r="AA187">
        <v>2.56</v>
      </c>
      <c r="AB187">
        <v>0</v>
      </c>
      <c r="AC187">
        <v>0</v>
      </c>
      <c r="AD187">
        <v>1</v>
      </c>
      <c r="AE187">
        <v>0</v>
      </c>
      <c r="AF187" t="s">
        <v>3</v>
      </c>
      <c r="AG187">
        <v>0.28000000000000003</v>
      </c>
      <c r="AH187">
        <v>2</v>
      </c>
      <c r="AI187">
        <v>38800749</v>
      </c>
      <c r="AJ187">
        <v>211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</row>
    <row r="188" spans="1:44" x14ac:dyDescent="0.2">
      <c r="A188">
        <f>ROW(Source!A338)</f>
        <v>338</v>
      </c>
      <c r="B188">
        <v>38800754</v>
      </c>
      <c r="C188">
        <v>38800746</v>
      </c>
      <c r="D188">
        <v>38468294</v>
      </c>
      <c r="E188">
        <v>1</v>
      </c>
      <c r="F188">
        <v>1</v>
      </c>
      <c r="G188">
        <v>27</v>
      </c>
      <c r="H188">
        <v>3</v>
      </c>
      <c r="I188" t="s">
        <v>450</v>
      </c>
      <c r="J188" t="s">
        <v>451</v>
      </c>
      <c r="K188" t="s">
        <v>452</v>
      </c>
      <c r="L188">
        <v>1348</v>
      </c>
      <c r="N188">
        <v>1009</v>
      </c>
      <c r="O188" t="s">
        <v>155</v>
      </c>
      <c r="P188" t="s">
        <v>155</v>
      </c>
      <c r="Q188">
        <v>1000</v>
      </c>
      <c r="X188">
        <v>1.1599999999999999</v>
      </c>
      <c r="Y188">
        <v>2562.79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0</v>
      </c>
      <c r="AF188" t="s">
        <v>3</v>
      </c>
      <c r="AG188">
        <v>1.1599999999999999</v>
      </c>
      <c r="AH188">
        <v>2</v>
      </c>
      <c r="AI188">
        <v>38800750</v>
      </c>
      <c r="AJ188">
        <v>212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</row>
    <row r="189" spans="1:44" x14ac:dyDescent="0.2">
      <c r="A189">
        <f>ROW(Source!A339)</f>
        <v>339</v>
      </c>
      <c r="B189">
        <v>38800761</v>
      </c>
      <c r="C189">
        <v>38800755</v>
      </c>
      <c r="D189">
        <v>38451941</v>
      </c>
      <c r="E189">
        <v>27</v>
      </c>
      <c r="F189">
        <v>1</v>
      </c>
      <c r="G189">
        <v>27</v>
      </c>
      <c r="H189">
        <v>1</v>
      </c>
      <c r="I189" t="s">
        <v>387</v>
      </c>
      <c r="J189" t="s">
        <v>3</v>
      </c>
      <c r="K189" t="s">
        <v>388</v>
      </c>
      <c r="L189">
        <v>1191</v>
      </c>
      <c r="N189">
        <v>1013</v>
      </c>
      <c r="O189" t="s">
        <v>389</v>
      </c>
      <c r="P189" t="s">
        <v>389</v>
      </c>
      <c r="Q189">
        <v>1</v>
      </c>
      <c r="X189">
        <v>87.4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1</v>
      </c>
      <c r="AF189" t="s">
        <v>3</v>
      </c>
      <c r="AG189">
        <v>87.4</v>
      </c>
      <c r="AH189">
        <v>2</v>
      </c>
      <c r="AI189">
        <v>38800756</v>
      </c>
      <c r="AJ189">
        <v>213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</row>
    <row r="190" spans="1:44" x14ac:dyDescent="0.2">
      <c r="A190">
        <f>ROW(Source!A339)</f>
        <v>339</v>
      </c>
      <c r="B190">
        <v>38800762</v>
      </c>
      <c r="C190">
        <v>38800755</v>
      </c>
      <c r="D190">
        <v>38464342</v>
      </c>
      <c r="E190">
        <v>1</v>
      </c>
      <c r="F190">
        <v>1</v>
      </c>
      <c r="G190">
        <v>27</v>
      </c>
      <c r="H190">
        <v>2</v>
      </c>
      <c r="I190" t="s">
        <v>520</v>
      </c>
      <c r="J190" t="s">
        <v>521</v>
      </c>
      <c r="K190" t="s">
        <v>522</v>
      </c>
      <c r="L190">
        <v>1368</v>
      </c>
      <c r="N190">
        <v>1011</v>
      </c>
      <c r="O190" t="s">
        <v>393</v>
      </c>
      <c r="P190" t="s">
        <v>393</v>
      </c>
      <c r="Q190">
        <v>1</v>
      </c>
      <c r="X190">
        <v>19</v>
      </c>
      <c r="Y190">
        <v>0</v>
      </c>
      <c r="Z190">
        <v>31</v>
      </c>
      <c r="AA190">
        <v>1.35</v>
      </c>
      <c r="AB190">
        <v>0</v>
      </c>
      <c r="AC190">
        <v>0</v>
      </c>
      <c r="AD190">
        <v>1</v>
      </c>
      <c r="AE190">
        <v>0</v>
      </c>
      <c r="AF190" t="s">
        <v>3</v>
      </c>
      <c r="AG190">
        <v>19</v>
      </c>
      <c r="AH190">
        <v>2</v>
      </c>
      <c r="AI190">
        <v>38800757</v>
      </c>
      <c r="AJ190">
        <v>214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</row>
    <row r="191" spans="1:44" x14ac:dyDescent="0.2">
      <c r="A191">
        <f>ROW(Source!A339)</f>
        <v>339</v>
      </c>
      <c r="B191">
        <v>38800763</v>
      </c>
      <c r="C191">
        <v>38800755</v>
      </c>
      <c r="D191">
        <v>38466161</v>
      </c>
      <c r="E191">
        <v>1</v>
      </c>
      <c r="F191">
        <v>1</v>
      </c>
      <c r="G191">
        <v>27</v>
      </c>
      <c r="H191">
        <v>3</v>
      </c>
      <c r="I191" t="s">
        <v>523</v>
      </c>
      <c r="J191" t="s">
        <v>524</v>
      </c>
      <c r="K191" t="s">
        <v>525</v>
      </c>
      <c r="L191">
        <v>1348</v>
      </c>
      <c r="N191">
        <v>1009</v>
      </c>
      <c r="O191" t="s">
        <v>155</v>
      </c>
      <c r="P191" t="s">
        <v>155</v>
      </c>
      <c r="Q191">
        <v>1000</v>
      </c>
      <c r="X191">
        <v>3.3E-3</v>
      </c>
      <c r="Y191">
        <v>105084.63</v>
      </c>
      <c r="Z191">
        <v>0</v>
      </c>
      <c r="AA191">
        <v>0</v>
      </c>
      <c r="AB191">
        <v>0</v>
      </c>
      <c r="AC191">
        <v>0</v>
      </c>
      <c r="AD191">
        <v>1</v>
      </c>
      <c r="AE191">
        <v>0</v>
      </c>
      <c r="AF191" t="s">
        <v>3</v>
      </c>
      <c r="AG191">
        <v>3.3E-3</v>
      </c>
      <c r="AH191">
        <v>2</v>
      </c>
      <c r="AI191">
        <v>38800758</v>
      </c>
      <c r="AJ191">
        <v>215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</row>
    <row r="192" spans="1:44" x14ac:dyDescent="0.2">
      <c r="A192">
        <f>ROW(Source!A339)</f>
        <v>339</v>
      </c>
      <c r="B192">
        <v>38800764</v>
      </c>
      <c r="C192">
        <v>38800755</v>
      </c>
      <c r="D192">
        <v>38467018</v>
      </c>
      <c r="E192">
        <v>1</v>
      </c>
      <c r="F192">
        <v>1</v>
      </c>
      <c r="G192">
        <v>27</v>
      </c>
      <c r="H192">
        <v>3</v>
      </c>
      <c r="I192" t="s">
        <v>496</v>
      </c>
      <c r="J192" t="s">
        <v>497</v>
      </c>
      <c r="K192" t="s">
        <v>498</v>
      </c>
      <c r="L192">
        <v>1348</v>
      </c>
      <c r="N192">
        <v>1009</v>
      </c>
      <c r="O192" t="s">
        <v>155</v>
      </c>
      <c r="P192" t="s">
        <v>155</v>
      </c>
      <c r="Q192">
        <v>1000</v>
      </c>
      <c r="X192">
        <v>1.4E-3</v>
      </c>
      <c r="Y192">
        <v>110781.14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0</v>
      </c>
      <c r="AF192" t="s">
        <v>3</v>
      </c>
      <c r="AG192">
        <v>1.4E-3</v>
      </c>
      <c r="AH192">
        <v>2</v>
      </c>
      <c r="AI192">
        <v>38800759</v>
      </c>
      <c r="AJ192">
        <v>216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</row>
    <row r="193" spans="1:44" x14ac:dyDescent="0.2">
      <c r="A193">
        <f>ROW(Source!A339)</f>
        <v>339</v>
      </c>
      <c r="B193">
        <v>38800765</v>
      </c>
      <c r="C193">
        <v>38800755</v>
      </c>
      <c r="D193">
        <v>38469133</v>
      </c>
      <c r="E193">
        <v>1</v>
      </c>
      <c r="F193">
        <v>1</v>
      </c>
      <c r="G193">
        <v>27</v>
      </c>
      <c r="H193">
        <v>3</v>
      </c>
      <c r="I193" t="s">
        <v>526</v>
      </c>
      <c r="J193" t="s">
        <v>527</v>
      </c>
      <c r="K193" t="s">
        <v>528</v>
      </c>
      <c r="L193">
        <v>1348</v>
      </c>
      <c r="N193">
        <v>1009</v>
      </c>
      <c r="O193" t="s">
        <v>155</v>
      </c>
      <c r="P193" t="s">
        <v>155</v>
      </c>
      <c r="Q193">
        <v>1000</v>
      </c>
      <c r="X193">
        <v>1</v>
      </c>
      <c r="Y193">
        <v>75026.559999999998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0</v>
      </c>
      <c r="AF193" t="s">
        <v>3</v>
      </c>
      <c r="AG193">
        <v>1</v>
      </c>
      <c r="AH193">
        <v>2</v>
      </c>
      <c r="AI193">
        <v>38800760</v>
      </c>
      <c r="AJ193">
        <v>217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</row>
    <row r="194" spans="1:44" x14ac:dyDescent="0.2">
      <c r="A194">
        <f>ROW(Source!A410)</f>
        <v>410</v>
      </c>
      <c r="B194">
        <v>38800980</v>
      </c>
      <c r="C194">
        <v>38800978</v>
      </c>
      <c r="D194">
        <v>38451941</v>
      </c>
      <c r="E194">
        <v>27</v>
      </c>
      <c r="F194">
        <v>1</v>
      </c>
      <c r="G194">
        <v>27</v>
      </c>
      <c r="H194">
        <v>1</v>
      </c>
      <c r="I194" t="s">
        <v>387</v>
      </c>
      <c r="J194" t="s">
        <v>3</v>
      </c>
      <c r="K194" t="s">
        <v>388</v>
      </c>
      <c r="L194">
        <v>1191</v>
      </c>
      <c r="N194">
        <v>1013</v>
      </c>
      <c r="O194" t="s">
        <v>389</v>
      </c>
      <c r="P194" t="s">
        <v>389</v>
      </c>
      <c r="Q194">
        <v>1</v>
      </c>
      <c r="X194">
        <v>221.6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1</v>
      </c>
      <c r="AF194" t="s">
        <v>3</v>
      </c>
      <c r="AG194">
        <v>221.6</v>
      </c>
      <c r="AH194">
        <v>2</v>
      </c>
      <c r="AI194">
        <v>38800979</v>
      </c>
      <c r="AJ194">
        <v>219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</row>
    <row r="195" spans="1:44" x14ac:dyDescent="0.2">
      <c r="A195">
        <f>ROW(Source!A411)</f>
        <v>411</v>
      </c>
      <c r="B195">
        <v>38800985</v>
      </c>
      <c r="C195">
        <v>38800981</v>
      </c>
      <c r="D195">
        <v>38451941</v>
      </c>
      <c r="E195">
        <v>27</v>
      </c>
      <c r="F195">
        <v>1</v>
      </c>
      <c r="G195">
        <v>27</v>
      </c>
      <c r="H195">
        <v>1</v>
      </c>
      <c r="I195" t="s">
        <v>387</v>
      </c>
      <c r="J195" t="s">
        <v>3</v>
      </c>
      <c r="K195" t="s">
        <v>388</v>
      </c>
      <c r="L195">
        <v>1191</v>
      </c>
      <c r="N195">
        <v>1013</v>
      </c>
      <c r="O195" t="s">
        <v>389</v>
      </c>
      <c r="P195" t="s">
        <v>389</v>
      </c>
      <c r="Q195">
        <v>1</v>
      </c>
      <c r="X195">
        <v>12.42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1</v>
      </c>
      <c r="AF195" t="s">
        <v>3</v>
      </c>
      <c r="AG195">
        <v>12.42</v>
      </c>
      <c r="AH195">
        <v>2</v>
      </c>
      <c r="AI195">
        <v>38800982</v>
      </c>
      <c r="AJ195">
        <v>220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</row>
    <row r="196" spans="1:44" x14ac:dyDescent="0.2">
      <c r="A196">
        <f>ROW(Source!A411)</f>
        <v>411</v>
      </c>
      <c r="B196">
        <v>38800986</v>
      </c>
      <c r="C196">
        <v>38800981</v>
      </c>
      <c r="D196">
        <v>38464567</v>
      </c>
      <c r="E196">
        <v>1</v>
      </c>
      <c r="F196">
        <v>1</v>
      </c>
      <c r="G196">
        <v>27</v>
      </c>
      <c r="H196">
        <v>2</v>
      </c>
      <c r="I196" t="s">
        <v>412</v>
      </c>
      <c r="J196" t="s">
        <v>413</v>
      </c>
      <c r="K196" t="s">
        <v>414</v>
      </c>
      <c r="L196">
        <v>1368</v>
      </c>
      <c r="N196">
        <v>1011</v>
      </c>
      <c r="O196" t="s">
        <v>393</v>
      </c>
      <c r="P196" t="s">
        <v>393</v>
      </c>
      <c r="Q196">
        <v>1</v>
      </c>
      <c r="X196">
        <v>13.12</v>
      </c>
      <c r="Y196">
        <v>0</v>
      </c>
      <c r="Z196">
        <v>744.2</v>
      </c>
      <c r="AA196">
        <v>423.17</v>
      </c>
      <c r="AB196">
        <v>0</v>
      </c>
      <c r="AC196">
        <v>0</v>
      </c>
      <c r="AD196">
        <v>1</v>
      </c>
      <c r="AE196">
        <v>0</v>
      </c>
      <c r="AF196" t="s">
        <v>3</v>
      </c>
      <c r="AG196">
        <v>13.12</v>
      </c>
      <c r="AH196">
        <v>2</v>
      </c>
      <c r="AI196">
        <v>38800983</v>
      </c>
      <c r="AJ196">
        <v>221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</row>
    <row r="197" spans="1:44" x14ac:dyDescent="0.2">
      <c r="A197">
        <f>ROW(Source!A411)</f>
        <v>411</v>
      </c>
      <c r="B197">
        <v>38800987</v>
      </c>
      <c r="C197">
        <v>38800981</v>
      </c>
      <c r="D197">
        <v>38465034</v>
      </c>
      <c r="E197">
        <v>1</v>
      </c>
      <c r="F197">
        <v>1</v>
      </c>
      <c r="G197">
        <v>27</v>
      </c>
      <c r="H197">
        <v>2</v>
      </c>
      <c r="I197" t="s">
        <v>420</v>
      </c>
      <c r="J197" t="s">
        <v>421</v>
      </c>
      <c r="K197" t="s">
        <v>422</v>
      </c>
      <c r="L197">
        <v>1368</v>
      </c>
      <c r="N197">
        <v>1011</v>
      </c>
      <c r="O197" t="s">
        <v>393</v>
      </c>
      <c r="P197" t="s">
        <v>393</v>
      </c>
      <c r="Q197">
        <v>1</v>
      </c>
      <c r="X197">
        <v>13.12</v>
      </c>
      <c r="Y197">
        <v>0</v>
      </c>
      <c r="Z197">
        <v>3.75</v>
      </c>
      <c r="AA197">
        <v>2.56</v>
      </c>
      <c r="AB197">
        <v>0</v>
      </c>
      <c r="AC197">
        <v>0</v>
      </c>
      <c r="AD197">
        <v>1</v>
      </c>
      <c r="AE197">
        <v>0</v>
      </c>
      <c r="AF197" t="s">
        <v>3</v>
      </c>
      <c r="AG197">
        <v>13.12</v>
      </c>
      <c r="AH197">
        <v>2</v>
      </c>
      <c r="AI197">
        <v>38800984</v>
      </c>
      <c r="AJ197">
        <v>222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</row>
    <row r="198" spans="1:44" x14ac:dyDescent="0.2">
      <c r="A198">
        <f>ROW(Source!A412)</f>
        <v>412</v>
      </c>
      <c r="B198">
        <v>38800993</v>
      </c>
      <c r="C198">
        <v>38800988</v>
      </c>
      <c r="D198">
        <v>38451941</v>
      </c>
      <c r="E198">
        <v>27</v>
      </c>
      <c r="F198">
        <v>1</v>
      </c>
      <c r="G198">
        <v>27</v>
      </c>
      <c r="H198">
        <v>1</v>
      </c>
      <c r="I198" t="s">
        <v>387</v>
      </c>
      <c r="J198" t="s">
        <v>3</v>
      </c>
      <c r="K198" t="s">
        <v>388</v>
      </c>
      <c r="L198">
        <v>1191</v>
      </c>
      <c r="N198">
        <v>1013</v>
      </c>
      <c r="O198" t="s">
        <v>389</v>
      </c>
      <c r="P198" t="s">
        <v>389</v>
      </c>
      <c r="Q198">
        <v>1</v>
      </c>
      <c r="X198">
        <v>3.44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1</v>
      </c>
      <c r="AE198">
        <v>1</v>
      </c>
      <c r="AF198" t="s">
        <v>3</v>
      </c>
      <c r="AG198">
        <v>3.44</v>
      </c>
      <c r="AH198">
        <v>2</v>
      </c>
      <c r="AI198">
        <v>38800989</v>
      </c>
      <c r="AJ198">
        <v>223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</row>
    <row r="199" spans="1:44" x14ac:dyDescent="0.2">
      <c r="A199">
        <f>ROW(Source!A412)</f>
        <v>412</v>
      </c>
      <c r="B199">
        <v>38800994</v>
      </c>
      <c r="C199">
        <v>38800988</v>
      </c>
      <c r="D199">
        <v>38464567</v>
      </c>
      <c r="E199">
        <v>1</v>
      </c>
      <c r="F199">
        <v>1</v>
      </c>
      <c r="G199">
        <v>27</v>
      </c>
      <c r="H199">
        <v>2</v>
      </c>
      <c r="I199" t="s">
        <v>412</v>
      </c>
      <c r="J199" t="s">
        <v>413</v>
      </c>
      <c r="K199" t="s">
        <v>414</v>
      </c>
      <c r="L199">
        <v>1368</v>
      </c>
      <c r="N199">
        <v>1011</v>
      </c>
      <c r="O199" t="s">
        <v>393</v>
      </c>
      <c r="P199" t="s">
        <v>393</v>
      </c>
      <c r="Q199">
        <v>1</v>
      </c>
      <c r="X199">
        <v>0.38</v>
      </c>
      <c r="Y199">
        <v>0</v>
      </c>
      <c r="Z199">
        <v>744.2</v>
      </c>
      <c r="AA199">
        <v>423.17</v>
      </c>
      <c r="AB199">
        <v>0</v>
      </c>
      <c r="AC199">
        <v>0</v>
      </c>
      <c r="AD199">
        <v>1</v>
      </c>
      <c r="AE199">
        <v>0</v>
      </c>
      <c r="AF199" t="s">
        <v>3</v>
      </c>
      <c r="AG199">
        <v>0.38</v>
      </c>
      <c r="AH199">
        <v>2</v>
      </c>
      <c r="AI199">
        <v>38800990</v>
      </c>
      <c r="AJ199">
        <v>224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</row>
    <row r="200" spans="1:44" x14ac:dyDescent="0.2">
      <c r="A200">
        <f>ROW(Source!A412)</f>
        <v>412</v>
      </c>
      <c r="B200">
        <v>38800995</v>
      </c>
      <c r="C200">
        <v>38800988</v>
      </c>
      <c r="D200">
        <v>38465034</v>
      </c>
      <c r="E200">
        <v>1</v>
      </c>
      <c r="F200">
        <v>1</v>
      </c>
      <c r="G200">
        <v>27</v>
      </c>
      <c r="H200">
        <v>2</v>
      </c>
      <c r="I200" t="s">
        <v>420</v>
      </c>
      <c r="J200" t="s">
        <v>421</v>
      </c>
      <c r="K200" t="s">
        <v>422</v>
      </c>
      <c r="L200">
        <v>1368</v>
      </c>
      <c r="N200">
        <v>1011</v>
      </c>
      <c r="O200" t="s">
        <v>393</v>
      </c>
      <c r="P200" t="s">
        <v>393</v>
      </c>
      <c r="Q200">
        <v>1</v>
      </c>
      <c r="X200">
        <v>0.38</v>
      </c>
      <c r="Y200">
        <v>0</v>
      </c>
      <c r="Z200">
        <v>3.75</v>
      </c>
      <c r="AA200">
        <v>2.56</v>
      </c>
      <c r="AB200">
        <v>0</v>
      </c>
      <c r="AC200">
        <v>0</v>
      </c>
      <c r="AD200">
        <v>1</v>
      </c>
      <c r="AE200">
        <v>0</v>
      </c>
      <c r="AF200" t="s">
        <v>3</v>
      </c>
      <c r="AG200">
        <v>0.38</v>
      </c>
      <c r="AH200">
        <v>2</v>
      </c>
      <c r="AI200">
        <v>38800991</v>
      </c>
      <c r="AJ200">
        <v>225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</row>
    <row r="201" spans="1:44" x14ac:dyDescent="0.2">
      <c r="A201">
        <f>ROW(Source!A412)</f>
        <v>412</v>
      </c>
      <c r="B201">
        <v>38800996</v>
      </c>
      <c r="C201">
        <v>38800988</v>
      </c>
      <c r="D201">
        <v>38466366</v>
      </c>
      <c r="E201">
        <v>1</v>
      </c>
      <c r="F201">
        <v>1</v>
      </c>
      <c r="G201">
        <v>27</v>
      </c>
      <c r="H201">
        <v>3</v>
      </c>
      <c r="I201" t="s">
        <v>423</v>
      </c>
      <c r="J201" t="s">
        <v>424</v>
      </c>
      <c r="K201" t="s">
        <v>425</v>
      </c>
      <c r="L201">
        <v>1339</v>
      </c>
      <c r="N201">
        <v>1007</v>
      </c>
      <c r="O201" t="s">
        <v>35</v>
      </c>
      <c r="P201" t="s">
        <v>35</v>
      </c>
      <c r="Q201">
        <v>1</v>
      </c>
      <c r="X201">
        <v>1.1200000000000001</v>
      </c>
      <c r="Y201">
        <v>590.78</v>
      </c>
      <c r="Z201">
        <v>0</v>
      </c>
      <c r="AA201">
        <v>0</v>
      </c>
      <c r="AB201">
        <v>0</v>
      </c>
      <c r="AC201">
        <v>0</v>
      </c>
      <c r="AD201">
        <v>1</v>
      </c>
      <c r="AE201">
        <v>0</v>
      </c>
      <c r="AF201" t="s">
        <v>3</v>
      </c>
      <c r="AG201">
        <v>1.1200000000000001</v>
      </c>
      <c r="AH201">
        <v>2</v>
      </c>
      <c r="AI201">
        <v>38800992</v>
      </c>
      <c r="AJ201">
        <v>226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</row>
    <row r="202" spans="1:44" x14ac:dyDescent="0.2">
      <c r="A202">
        <f>ROW(Source!A413)</f>
        <v>413</v>
      </c>
      <c r="B202">
        <v>38801002</v>
      </c>
      <c r="C202">
        <v>38800997</v>
      </c>
      <c r="D202">
        <v>38451941</v>
      </c>
      <c r="E202">
        <v>27</v>
      </c>
      <c r="F202">
        <v>1</v>
      </c>
      <c r="G202">
        <v>27</v>
      </c>
      <c r="H202">
        <v>1</v>
      </c>
      <c r="I202" t="s">
        <v>387</v>
      </c>
      <c r="J202" t="s">
        <v>3</v>
      </c>
      <c r="K202" t="s">
        <v>388</v>
      </c>
      <c r="L202">
        <v>1191</v>
      </c>
      <c r="N202">
        <v>1013</v>
      </c>
      <c r="O202" t="s">
        <v>389</v>
      </c>
      <c r="P202" t="s">
        <v>389</v>
      </c>
      <c r="Q202">
        <v>1</v>
      </c>
      <c r="X202">
        <v>1.1499999999999999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1</v>
      </c>
      <c r="AF202" t="s">
        <v>3</v>
      </c>
      <c r="AG202">
        <v>1.1499999999999999</v>
      </c>
      <c r="AH202">
        <v>2</v>
      </c>
      <c r="AI202">
        <v>38800998</v>
      </c>
      <c r="AJ202">
        <v>227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</row>
    <row r="203" spans="1:44" x14ac:dyDescent="0.2">
      <c r="A203">
        <f>ROW(Source!A413)</f>
        <v>413</v>
      </c>
      <c r="B203">
        <v>38801003</v>
      </c>
      <c r="C203">
        <v>38800997</v>
      </c>
      <c r="D203">
        <v>38465314</v>
      </c>
      <c r="E203">
        <v>1</v>
      </c>
      <c r="F203">
        <v>1</v>
      </c>
      <c r="G203">
        <v>27</v>
      </c>
      <c r="H203">
        <v>3</v>
      </c>
      <c r="I203" t="s">
        <v>426</v>
      </c>
      <c r="J203" t="s">
        <v>427</v>
      </c>
      <c r="K203" t="s">
        <v>428</v>
      </c>
      <c r="L203">
        <v>1348</v>
      </c>
      <c r="N203">
        <v>1009</v>
      </c>
      <c r="O203" t="s">
        <v>155</v>
      </c>
      <c r="P203" t="s">
        <v>155</v>
      </c>
      <c r="Q203">
        <v>1000</v>
      </c>
      <c r="X203">
        <v>4.4000000000000003E-3</v>
      </c>
      <c r="Y203">
        <v>4207.5</v>
      </c>
      <c r="Z203">
        <v>0</v>
      </c>
      <c r="AA203">
        <v>0</v>
      </c>
      <c r="AB203">
        <v>0</v>
      </c>
      <c r="AC203">
        <v>0</v>
      </c>
      <c r="AD203">
        <v>1</v>
      </c>
      <c r="AE203">
        <v>0</v>
      </c>
      <c r="AF203" t="s">
        <v>3</v>
      </c>
      <c r="AG203">
        <v>4.4000000000000003E-3</v>
      </c>
      <c r="AH203">
        <v>2</v>
      </c>
      <c r="AI203">
        <v>38800999</v>
      </c>
      <c r="AJ203">
        <v>228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</row>
    <row r="204" spans="1:44" x14ac:dyDescent="0.2">
      <c r="A204">
        <f>ROW(Source!A413)</f>
        <v>413</v>
      </c>
      <c r="B204">
        <v>38801004</v>
      </c>
      <c r="C204">
        <v>38800997</v>
      </c>
      <c r="D204">
        <v>38468080</v>
      </c>
      <c r="E204">
        <v>1</v>
      </c>
      <c r="F204">
        <v>1</v>
      </c>
      <c r="G204">
        <v>27</v>
      </c>
      <c r="H204">
        <v>3</v>
      </c>
      <c r="I204" t="s">
        <v>429</v>
      </c>
      <c r="J204" t="s">
        <v>430</v>
      </c>
      <c r="K204" t="s">
        <v>431</v>
      </c>
      <c r="L204">
        <v>1339</v>
      </c>
      <c r="N204">
        <v>1007</v>
      </c>
      <c r="O204" t="s">
        <v>35</v>
      </c>
      <c r="P204" t="s">
        <v>35</v>
      </c>
      <c r="Q204">
        <v>1</v>
      </c>
      <c r="X204">
        <v>7.5999999999999998E-2</v>
      </c>
      <c r="Y204">
        <v>3714.73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0</v>
      </c>
      <c r="AF204" t="s">
        <v>3</v>
      </c>
      <c r="AG204">
        <v>7.5999999999999998E-2</v>
      </c>
      <c r="AH204">
        <v>2</v>
      </c>
      <c r="AI204">
        <v>38801000</v>
      </c>
      <c r="AJ204">
        <v>229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</row>
    <row r="205" spans="1:44" x14ac:dyDescent="0.2">
      <c r="A205">
        <f>ROW(Source!A415)</f>
        <v>415</v>
      </c>
      <c r="B205">
        <v>38801013</v>
      </c>
      <c r="C205">
        <v>38801006</v>
      </c>
      <c r="D205">
        <v>38451941</v>
      </c>
      <c r="E205">
        <v>27</v>
      </c>
      <c r="F205">
        <v>1</v>
      </c>
      <c r="G205">
        <v>27</v>
      </c>
      <c r="H205">
        <v>1</v>
      </c>
      <c r="I205" t="s">
        <v>387</v>
      </c>
      <c r="J205" t="s">
        <v>3</v>
      </c>
      <c r="K205" t="s">
        <v>388</v>
      </c>
      <c r="L205">
        <v>1191</v>
      </c>
      <c r="N205">
        <v>1013</v>
      </c>
      <c r="O205" t="s">
        <v>389</v>
      </c>
      <c r="P205" t="s">
        <v>389</v>
      </c>
      <c r="Q205">
        <v>1</v>
      </c>
      <c r="X205">
        <v>3.73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1</v>
      </c>
      <c r="AE205">
        <v>1</v>
      </c>
      <c r="AF205" t="s">
        <v>3</v>
      </c>
      <c r="AG205">
        <v>3.73</v>
      </c>
      <c r="AH205">
        <v>2</v>
      </c>
      <c r="AI205">
        <v>38801007</v>
      </c>
      <c r="AJ205">
        <v>231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</row>
    <row r="206" spans="1:44" x14ac:dyDescent="0.2">
      <c r="A206">
        <f>ROW(Source!A415)</f>
        <v>415</v>
      </c>
      <c r="B206">
        <v>38801014</v>
      </c>
      <c r="C206">
        <v>38801006</v>
      </c>
      <c r="D206">
        <v>38464567</v>
      </c>
      <c r="E206">
        <v>1</v>
      </c>
      <c r="F206">
        <v>1</v>
      </c>
      <c r="G206">
        <v>27</v>
      </c>
      <c r="H206">
        <v>2</v>
      </c>
      <c r="I206" t="s">
        <v>412</v>
      </c>
      <c r="J206" t="s">
        <v>413</v>
      </c>
      <c r="K206" t="s">
        <v>414</v>
      </c>
      <c r="L206">
        <v>1368</v>
      </c>
      <c r="N206">
        <v>1011</v>
      </c>
      <c r="O206" t="s">
        <v>393</v>
      </c>
      <c r="P206" t="s">
        <v>393</v>
      </c>
      <c r="Q206">
        <v>1</v>
      </c>
      <c r="X206">
        <v>1.49</v>
      </c>
      <c r="Y206">
        <v>0</v>
      </c>
      <c r="Z206">
        <v>744.2</v>
      </c>
      <c r="AA206">
        <v>423.17</v>
      </c>
      <c r="AB206">
        <v>0</v>
      </c>
      <c r="AC206">
        <v>0</v>
      </c>
      <c r="AD206">
        <v>1</v>
      </c>
      <c r="AE206">
        <v>0</v>
      </c>
      <c r="AF206" t="s">
        <v>3</v>
      </c>
      <c r="AG206">
        <v>1.49</v>
      </c>
      <c r="AH206">
        <v>2</v>
      </c>
      <c r="AI206">
        <v>38801008</v>
      </c>
      <c r="AJ206">
        <v>232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</row>
    <row r="207" spans="1:44" x14ac:dyDescent="0.2">
      <c r="A207">
        <f>ROW(Source!A415)</f>
        <v>415</v>
      </c>
      <c r="B207">
        <v>38801015</v>
      </c>
      <c r="C207">
        <v>38801006</v>
      </c>
      <c r="D207">
        <v>38465034</v>
      </c>
      <c r="E207">
        <v>1</v>
      </c>
      <c r="F207">
        <v>1</v>
      </c>
      <c r="G207">
        <v>27</v>
      </c>
      <c r="H207">
        <v>2</v>
      </c>
      <c r="I207" t="s">
        <v>420</v>
      </c>
      <c r="J207" t="s">
        <v>421</v>
      </c>
      <c r="K207" t="s">
        <v>422</v>
      </c>
      <c r="L207">
        <v>1368</v>
      </c>
      <c r="N207">
        <v>1011</v>
      </c>
      <c r="O207" t="s">
        <v>393</v>
      </c>
      <c r="P207" t="s">
        <v>393</v>
      </c>
      <c r="Q207">
        <v>1</v>
      </c>
      <c r="X207">
        <v>1.49</v>
      </c>
      <c r="Y207">
        <v>0</v>
      </c>
      <c r="Z207">
        <v>3.75</v>
      </c>
      <c r="AA207">
        <v>2.56</v>
      </c>
      <c r="AB207">
        <v>0</v>
      </c>
      <c r="AC207">
        <v>0</v>
      </c>
      <c r="AD207">
        <v>1</v>
      </c>
      <c r="AE207">
        <v>0</v>
      </c>
      <c r="AF207" t="s">
        <v>3</v>
      </c>
      <c r="AG207">
        <v>1.49</v>
      </c>
      <c r="AH207">
        <v>2</v>
      </c>
      <c r="AI207">
        <v>38801009</v>
      </c>
      <c r="AJ207">
        <v>233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</row>
    <row r="208" spans="1:44" x14ac:dyDescent="0.2">
      <c r="A208">
        <f>ROW(Source!A415)</f>
        <v>415</v>
      </c>
      <c r="B208">
        <v>38801016</v>
      </c>
      <c r="C208">
        <v>38801006</v>
      </c>
      <c r="D208">
        <v>38466379</v>
      </c>
      <c r="E208">
        <v>1</v>
      </c>
      <c r="F208">
        <v>1</v>
      </c>
      <c r="G208">
        <v>27</v>
      </c>
      <c r="H208">
        <v>3</v>
      </c>
      <c r="I208" t="s">
        <v>432</v>
      </c>
      <c r="J208" t="s">
        <v>433</v>
      </c>
      <c r="K208" t="s">
        <v>434</v>
      </c>
      <c r="L208">
        <v>1339</v>
      </c>
      <c r="N208">
        <v>1007</v>
      </c>
      <c r="O208" t="s">
        <v>35</v>
      </c>
      <c r="P208" t="s">
        <v>35</v>
      </c>
      <c r="Q208">
        <v>1</v>
      </c>
      <c r="X208">
        <v>0.18</v>
      </c>
      <c r="Y208">
        <v>1436.5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 t="s">
        <v>3</v>
      </c>
      <c r="AG208">
        <v>0.18</v>
      </c>
      <c r="AH208">
        <v>2</v>
      </c>
      <c r="AI208">
        <v>38801010</v>
      </c>
      <c r="AJ208">
        <v>234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</row>
    <row r="209" spans="1:44" x14ac:dyDescent="0.2">
      <c r="A209">
        <f>ROW(Source!A415)</f>
        <v>415</v>
      </c>
      <c r="B209">
        <v>38801017</v>
      </c>
      <c r="C209">
        <v>38801006</v>
      </c>
      <c r="D209">
        <v>38466380</v>
      </c>
      <c r="E209">
        <v>1</v>
      </c>
      <c r="F209">
        <v>1</v>
      </c>
      <c r="G209">
        <v>27</v>
      </c>
      <c r="H209">
        <v>3</v>
      </c>
      <c r="I209" t="s">
        <v>435</v>
      </c>
      <c r="J209" t="s">
        <v>436</v>
      </c>
      <c r="K209" t="s">
        <v>437</v>
      </c>
      <c r="L209">
        <v>1339</v>
      </c>
      <c r="N209">
        <v>1007</v>
      </c>
      <c r="O209" t="s">
        <v>35</v>
      </c>
      <c r="P209" t="s">
        <v>35</v>
      </c>
      <c r="Q209">
        <v>1</v>
      </c>
      <c r="X209">
        <v>0.09</v>
      </c>
      <c r="Y209">
        <v>1436.5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0</v>
      </c>
      <c r="AF209" t="s">
        <v>3</v>
      </c>
      <c r="AG209">
        <v>0.09</v>
      </c>
      <c r="AH209">
        <v>2</v>
      </c>
      <c r="AI209">
        <v>38801011</v>
      </c>
      <c r="AJ209">
        <v>235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</row>
    <row r="210" spans="1:44" x14ac:dyDescent="0.2">
      <c r="A210">
        <f>ROW(Source!A415)</f>
        <v>415</v>
      </c>
      <c r="B210">
        <v>38801018</v>
      </c>
      <c r="C210">
        <v>38801006</v>
      </c>
      <c r="D210">
        <v>38466382</v>
      </c>
      <c r="E210">
        <v>1</v>
      </c>
      <c r="F210">
        <v>1</v>
      </c>
      <c r="G210">
        <v>27</v>
      </c>
      <c r="H210">
        <v>3</v>
      </c>
      <c r="I210" t="s">
        <v>438</v>
      </c>
      <c r="J210" t="s">
        <v>439</v>
      </c>
      <c r="K210" t="s">
        <v>440</v>
      </c>
      <c r="L210">
        <v>1339</v>
      </c>
      <c r="N210">
        <v>1007</v>
      </c>
      <c r="O210" t="s">
        <v>35</v>
      </c>
      <c r="P210" t="s">
        <v>35</v>
      </c>
      <c r="Q210">
        <v>1</v>
      </c>
      <c r="X210">
        <v>1</v>
      </c>
      <c r="Y210">
        <v>1241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0</v>
      </c>
      <c r="AF210" t="s">
        <v>3</v>
      </c>
      <c r="AG210">
        <v>1</v>
      </c>
      <c r="AH210">
        <v>2</v>
      </c>
      <c r="AI210">
        <v>38801012</v>
      </c>
      <c r="AJ210">
        <v>236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</row>
    <row r="211" spans="1:44" x14ac:dyDescent="0.2">
      <c r="A211">
        <f>ROW(Source!A416)</f>
        <v>416</v>
      </c>
      <c r="B211">
        <v>38801027</v>
      </c>
      <c r="C211">
        <v>38801019</v>
      </c>
      <c r="D211">
        <v>38451941</v>
      </c>
      <c r="E211">
        <v>27</v>
      </c>
      <c r="F211">
        <v>1</v>
      </c>
      <c r="G211">
        <v>27</v>
      </c>
      <c r="H211">
        <v>1</v>
      </c>
      <c r="I211" t="s">
        <v>387</v>
      </c>
      <c r="J211" t="s">
        <v>3</v>
      </c>
      <c r="K211" t="s">
        <v>388</v>
      </c>
      <c r="L211">
        <v>1191</v>
      </c>
      <c r="N211">
        <v>1013</v>
      </c>
      <c r="O211" t="s">
        <v>389</v>
      </c>
      <c r="P211" t="s">
        <v>389</v>
      </c>
      <c r="Q211">
        <v>1</v>
      </c>
      <c r="X211">
        <v>16.440000000000001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 t="s">
        <v>3</v>
      </c>
      <c r="AG211">
        <v>16.440000000000001</v>
      </c>
      <c r="AH211">
        <v>2</v>
      </c>
      <c r="AI211">
        <v>38801020</v>
      </c>
      <c r="AJ211">
        <v>237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</row>
    <row r="212" spans="1:44" x14ac:dyDescent="0.2">
      <c r="A212">
        <f>ROW(Source!A416)</f>
        <v>416</v>
      </c>
      <c r="B212">
        <v>38801028</v>
      </c>
      <c r="C212">
        <v>38801019</v>
      </c>
      <c r="D212">
        <v>38464567</v>
      </c>
      <c r="E212">
        <v>1</v>
      </c>
      <c r="F212">
        <v>1</v>
      </c>
      <c r="G212">
        <v>27</v>
      </c>
      <c r="H212">
        <v>2</v>
      </c>
      <c r="I212" t="s">
        <v>412</v>
      </c>
      <c r="J212" t="s">
        <v>413</v>
      </c>
      <c r="K212" t="s">
        <v>414</v>
      </c>
      <c r="L212">
        <v>1368</v>
      </c>
      <c r="N212">
        <v>1011</v>
      </c>
      <c r="O212" t="s">
        <v>393</v>
      </c>
      <c r="P212" t="s">
        <v>393</v>
      </c>
      <c r="Q212">
        <v>1</v>
      </c>
      <c r="X212">
        <v>0.55000000000000004</v>
      </c>
      <c r="Y212">
        <v>0</v>
      </c>
      <c r="Z212">
        <v>744.2</v>
      </c>
      <c r="AA212">
        <v>423.17</v>
      </c>
      <c r="AB212">
        <v>0</v>
      </c>
      <c r="AC212">
        <v>0</v>
      </c>
      <c r="AD212">
        <v>1</v>
      </c>
      <c r="AE212">
        <v>0</v>
      </c>
      <c r="AF212" t="s">
        <v>3</v>
      </c>
      <c r="AG212">
        <v>0.55000000000000004</v>
      </c>
      <c r="AH212">
        <v>2</v>
      </c>
      <c r="AI212">
        <v>38801021</v>
      </c>
      <c r="AJ212">
        <v>238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</row>
    <row r="213" spans="1:44" x14ac:dyDescent="0.2">
      <c r="A213">
        <f>ROW(Source!A416)</f>
        <v>416</v>
      </c>
      <c r="B213">
        <v>38801029</v>
      </c>
      <c r="C213">
        <v>38801019</v>
      </c>
      <c r="D213">
        <v>38464689</v>
      </c>
      <c r="E213">
        <v>1</v>
      </c>
      <c r="F213">
        <v>1</v>
      </c>
      <c r="G213">
        <v>27</v>
      </c>
      <c r="H213">
        <v>2</v>
      </c>
      <c r="I213" t="s">
        <v>441</v>
      </c>
      <c r="J213" t="s">
        <v>442</v>
      </c>
      <c r="K213" t="s">
        <v>443</v>
      </c>
      <c r="L213">
        <v>1368</v>
      </c>
      <c r="N213">
        <v>1011</v>
      </c>
      <c r="O213" t="s">
        <v>393</v>
      </c>
      <c r="P213" t="s">
        <v>393</v>
      </c>
      <c r="Q213">
        <v>1</v>
      </c>
      <c r="X213">
        <v>0.81</v>
      </c>
      <c r="Y213">
        <v>0</v>
      </c>
      <c r="Z213">
        <v>1977.07</v>
      </c>
      <c r="AA213">
        <v>1200.6500000000001</v>
      </c>
      <c r="AB213">
        <v>0</v>
      </c>
      <c r="AC213">
        <v>0</v>
      </c>
      <c r="AD213">
        <v>1</v>
      </c>
      <c r="AE213">
        <v>0</v>
      </c>
      <c r="AF213" t="s">
        <v>3</v>
      </c>
      <c r="AG213">
        <v>0.81</v>
      </c>
      <c r="AH213">
        <v>2</v>
      </c>
      <c r="AI213">
        <v>38801022</v>
      </c>
      <c r="AJ213">
        <v>239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</row>
    <row r="214" spans="1:44" x14ac:dyDescent="0.2">
      <c r="A214">
        <f>ROW(Source!A416)</f>
        <v>416</v>
      </c>
      <c r="B214">
        <v>38801030</v>
      </c>
      <c r="C214">
        <v>38801019</v>
      </c>
      <c r="D214">
        <v>38465034</v>
      </c>
      <c r="E214">
        <v>1</v>
      </c>
      <c r="F214">
        <v>1</v>
      </c>
      <c r="G214">
        <v>27</v>
      </c>
      <c r="H214">
        <v>2</v>
      </c>
      <c r="I214" t="s">
        <v>420</v>
      </c>
      <c r="J214" t="s">
        <v>421</v>
      </c>
      <c r="K214" t="s">
        <v>422</v>
      </c>
      <c r="L214">
        <v>1368</v>
      </c>
      <c r="N214">
        <v>1011</v>
      </c>
      <c r="O214" t="s">
        <v>393</v>
      </c>
      <c r="P214" t="s">
        <v>393</v>
      </c>
      <c r="Q214">
        <v>1</v>
      </c>
      <c r="X214">
        <v>1.08</v>
      </c>
      <c r="Y214">
        <v>0</v>
      </c>
      <c r="Z214">
        <v>3.75</v>
      </c>
      <c r="AA214">
        <v>2.56</v>
      </c>
      <c r="AB214">
        <v>0</v>
      </c>
      <c r="AC214">
        <v>0</v>
      </c>
      <c r="AD214">
        <v>1</v>
      </c>
      <c r="AE214">
        <v>0</v>
      </c>
      <c r="AF214" t="s">
        <v>3</v>
      </c>
      <c r="AG214">
        <v>1.08</v>
      </c>
      <c r="AH214">
        <v>2</v>
      </c>
      <c r="AI214">
        <v>38801023</v>
      </c>
      <c r="AJ214">
        <v>240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</row>
    <row r="215" spans="1:44" x14ac:dyDescent="0.2">
      <c r="A215">
        <f>ROW(Source!A416)</f>
        <v>416</v>
      </c>
      <c r="B215">
        <v>38801031</v>
      </c>
      <c r="C215">
        <v>38801019</v>
      </c>
      <c r="D215">
        <v>38465228</v>
      </c>
      <c r="E215">
        <v>1</v>
      </c>
      <c r="F215">
        <v>1</v>
      </c>
      <c r="G215">
        <v>27</v>
      </c>
      <c r="H215">
        <v>3</v>
      </c>
      <c r="I215" t="s">
        <v>444</v>
      </c>
      <c r="J215" t="s">
        <v>445</v>
      </c>
      <c r="K215" t="s">
        <v>446</v>
      </c>
      <c r="L215">
        <v>1348</v>
      </c>
      <c r="N215">
        <v>1009</v>
      </c>
      <c r="O215" t="s">
        <v>155</v>
      </c>
      <c r="P215" t="s">
        <v>155</v>
      </c>
      <c r="Q215">
        <v>1000</v>
      </c>
      <c r="X215">
        <v>6.9000000000000006E-2</v>
      </c>
      <c r="Y215">
        <v>36258.75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 t="s">
        <v>3</v>
      </c>
      <c r="AG215">
        <v>6.9000000000000006E-2</v>
      </c>
      <c r="AH215">
        <v>2</v>
      </c>
      <c r="AI215">
        <v>38801024</v>
      </c>
      <c r="AJ215">
        <v>241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</row>
    <row r="216" spans="1:44" x14ac:dyDescent="0.2">
      <c r="A216">
        <f>ROW(Source!A416)</f>
        <v>416</v>
      </c>
      <c r="B216">
        <v>38801032</v>
      </c>
      <c r="C216">
        <v>38801019</v>
      </c>
      <c r="D216">
        <v>38465769</v>
      </c>
      <c r="E216">
        <v>1</v>
      </c>
      <c r="F216">
        <v>1</v>
      </c>
      <c r="G216">
        <v>27</v>
      </c>
      <c r="H216">
        <v>3</v>
      </c>
      <c r="I216" t="s">
        <v>447</v>
      </c>
      <c r="J216" t="s">
        <v>448</v>
      </c>
      <c r="K216" t="s">
        <v>449</v>
      </c>
      <c r="L216">
        <v>1339</v>
      </c>
      <c r="N216">
        <v>1007</v>
      </c>
      <c r="O216" t="s">
        <v>35</v>
      </c>
      <c r="P216" t="s">
        <v>35</v>
      </c>
      <c r="Q216">
        <v>1</v>
      </c>
      <c r="X216">
        <v>0.01</v>
      </c>
      <c r="Y216">
        <v>7064.05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0</v>
      </c>
      <c r="AF216" t="s">
        <v>3</v>
      </c>
      <c r="AG216">
        <v>0.01</v>
      </c>
      <c r="AH216">
        <v>2</v>
      </c>
      <c r="AI216">
        <v>38801025</v>
      </c>
      <c r="AJ216">
        <v>242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</row>
    <row r="217" spans="1:44" x14ac:dyDescent="0.2">
      <c r="A217">
        <f>ROW(Source!A416)</f>
        <v>416</v>
      </c>
      <c r="B217">
        <v>38801033</v>
      </c>
      <c r="C217">
        <v>38801019</v>
      </c>
      <c r="D217">
        <v>38468294</v>
      </c>
      <c r="E217">
        <v>1</v>
      </c>
      <c r="F217">
        <v>1</v>
      </c>
      <c r="G217">
        <v>27</v>
      </c>
      <c r="H217">
        <v>3</v>
      </c>
      <c r="I217" t="s">
        <v>450</v>
      </c>
      <c r="J217" t="s">
        <v>451</v>
      </c>
      <c r="K217" t="s">
        <v>452</v>
      </c>
      <c r="L217">
        <v>1348</v>
      </c>
      <c r="N217">
        <v>1009</v>
      </c>
      <c r="O217" t="s">
        <v>155</v>
      </c>
      <c r="P217" t="s">
        <v>155</v>
      </c>
      <c r="Q217">
        <v>1000</v>
      </c>
      <c r="X217">
        <v>5.79</v>
      </c>
      <c r="Y217">
        <v>2562.79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0</v>
      </c>
      <c r="AF217" t="s">
        <v>3</v>
      </c>
      <c r="AG217">
        <v>5.79</v>
      </c>
      <c r="AH217">
        <v>2</v>
      </c>
      <c r="AI217">
        <v>38801026</v>
      </c>
      <c r="AJ217">
        <v>243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</row>
    <row r="218" spans="1:44" x14ac:dyDescent="0.2">
      <c r="A218">
        <f>ROW(Source!A417)</f>
        <v>417</v>
      </c>
      <c r="B218">
        <v>38801039</v>
      </c>
      <c r="C218">
        <v>38801034</v>
      </c>
      <c r="D218">
        <v>38451941</v>
      </c>
      <c r="E218">
        <v>27</v>
      </c>
      <c r="F218">
        <v>1</v>
      </c>
      <c r="G218">
        <v>27</v>
      </c>
      <c r="H218">
        <v>1</v>
      </c>
      <c r="I218" t="s">
        <v>387</v>
      </c>
      <c r="J218" t="s">
        <v>3</v>
      </c>
      <c r="K218" t="s">
        <v>388</v>
      </c>
      <c r="L218">
        <v>1191</v>
      </c>
      <c r="N218">
        <v>1013</v>
      </c>
      <c r="O218" t="s">
        <v>389</v>
      </c>
      <c r="P218" t="s">
        <v>389</v>
      </c>
      <c r="Q218">
        <v>1</v>
      </c>
      <c r="X218">
        <v>2.31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1</v>
      </c>
      <c r="AF218" t="s">
        <v>3</v>
      </c>
      <c r="AG218">
        <v>2.31</v>
      </c>
      <c r="AH218">
        <v>2</v>
      </c>
      <c r="AI218">
        <v>38801035</v>
      </c>
      <c r="AJ218">
        <v>244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</row>
    <row r="219" spans="1:44" x14ac:dyDescent="0.2">
      <c r="A219">
        <f>ROW(Source!A417)</f>
        <v>417</v>
      </c>
      <c r="B219">
        <v>38801040</v>
      </c>
      <c r="C219">
        <v>38801034</v>
      </c>
      <c r="D219">
        <v>38464567</v>
      </c>
      <c r="E219">
        <v>1</v>
      </c>
      <c r="F219">
        <v>1</v>
      </c>
      <c r="G219">
        <v>27</v>
      </c>
      <c r="H219">
        <v>2</v>
      </c>
      <c r="I219" t="s">
        <v>412</v>
      </c>
      <c r="J219" t="s">
        <v>413</v>
      </c>
      <c r="K219" t="s">
        <v>414</v>
      </c>
      <c r="L219">
        <v>1368</v>
      </c>
      <c r="N219">
        <v>1011</v>
      </c>
      <c r="O219" t="s">
        <v>393</v>
      </c>
      <c r="P219" t="s">
        <v>393</v>
      </c>
      <c r="Q219">
        <v>1</v>
      </c>
      <c r="X219">
        <v>0.14000000000000001</v>
      </c>
      <c r="Y219">
        <v>0</v>
      </c>
      <c r="Z219">
        <v>744.2</v>
      </c>
      <c r="AA219">
        <v>423.17</v>
      </c>
      <c r="AB219">
        <v>0</v>
      </c>
      <c r="AC219">
        <v>0</v>
      </c>
      <c r="AD219">
        <v>1</v>
      </c>
      <c r="AE219">
        <v>0</v>
      </c>
      <c r="AF219" t="s">
        <v>3</v>
      </c>
      <c r="AG219">
        <v>0.14000000000000001</v>
      </c>
      <c r="AH219">
        <v>2</v>
      </c>
      <c r="AI219">
        <v>38801036</v>
      </c>
      <c r="AJ219">
        <v>245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44" x14ac:dyDescent="0.2">
      <c r="A220">
        <f>ROW(Source!A417)</f>
        <v>417</v>
      </c>
      <c r="B220">
        <v>38801041</v>
      </c>
      <c r="C220">
        <v>38801034</v>
      </c>
      <c r="D220">
        <v>38465034</v>
      </c>
      <c r="E220">
        <v>1</v>
      </c>
      <c r="F220">
        <v>1</v>
      </c>
      <c r="G220">
        <v>27</v>
      </c>
      <c r="H220">
        <v>2</v>
      </c>
      <c r="I220" t="s">
        <v>420</v>
      </c>
      <c r="J220" t="s">
        <v>421</v>
      </c>
      <c r="K220" t="s">
        <v>422</v>
      </c>
      <c r="L220">
        <v>1368</v>
      </c>
      <c r="N220">
        <v>1011</v>
      </c>
      <c r="O220" t="s">
        <v>393</v>
      </c>
      <c r="P220" t="s">
        <v>393</v>
      </c>
      <c r="Q220">
        <v>1</v>
      </c>
      <c r="X220">
        <v>0.28000000000000003</v>
      </c>
      <c r="Y220">
        <v>0</v>
      </c>
      <c r="Z220">
        <v>3.75</v>
      </c>
      <c r="AA220">
        <v>2.56</v>
      </c>
      <c r="AB220">
        <v>0</v>
      </c>
      <c r="AC220">
        <v>0</v>
      </c>
      <c r="AD220">
        <v>1</v>
      </c>
      <c r="AE220">
        <v>0</v>
      </c>
      <c r="AF220" t="s">
        <v>3</v>
      </c>
      <c r="AG220">
        <v>0.28000000000000003</v>
      </c>
      <c r="AH220">
        <v>2</v>
      </c>
      <c r="AI220">
        <v>38801037</v>
      </c>
      <c r="AJ220">
        <v>246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</row>
    <row r="221" spans="1:44" x14ac:dyDescent="0.2">
      <c r="A221">
        <f>ROW(Source!A417)</f>
        <v>417</v>
      </c>
      <c r="B221">
        <v>38801042</v>
      </c>
      <c r="C221">
        <v>38801034</v>
      </c>
      <c r="D221">
        <v>38468294</v>
      </c>
      <c r="E221">
        <v>1</v>
      </c>
      <c r="F221">
        <v>1</v>
      </c>
      <c r="G221">
        <v>27</v>
      </c>
      <c r="H221">
        <v>3</v>
      </c>
      <c r="I221" t="s">
        <v>450</v>
      </c>
      <c r="J221" t="s">
        <v>451</v>
      </c>
      <c r="K221" t="s">
        <v>452</v>
      </c>
      <c r="L221">
        <v>1348</v>
      </c>
      <c r="N221">
        <v>1009</v>
      </c>
      <c r="O221" t="s">
        <v>155</v>
      </c>
      <c r="P221" t="s">
        <v>155</v>
      </c>
      <c r="Q221">
        <v>1000</v>
      </c>
      <c r="X221">
        <v>1.1599999999999999</v>
      </c>
      <c r="Y221">
        <v>2562.79</v>
      </c>
      <c r="Z221">
        <v>0</v>
      </c>
      <c r="AA221">
        <v>0</v>
      </c>
      <c r="AB221">
        <v>0</v>
      </c>
      <c r="AC221">
        <v>0</v>
      </c>
      <c r="AD221">
        <v>1</v>
      </c>
      <c r="AE221">
        <v>0</v>
      </c>
      <c r="AF221" t="s">
        <v>3</v>
      </c>
      <c r="AG221">
        <v>1.1599999999999999</v>
      </c>
      <c r="AH221">
        <v>2</v>
      </c>
      <c r="AI221">
        <v>38801038</v>
      </c>
      <c r="AJ221">
        <v>247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spans="1:44" x14ac:dyDescent="0.2">
      <c r="A222">
        <f>ROW(Source!A487)</f>
        <v>487</v>
      </c>
      <c r="B222">
        <v>38801202</v>
      </c>
      <c r="C222">
        <v>38801196</v>
      </c>
      <c r="D222">
        <v>38451941</v>
      </c>
      <c r="E222">
        <v>27</v>
      </c>
      <c r="F222">
        <v>1</v>
      </c>
      <c r="G222">
        <v>27</v>
      </c>
      <c r="H222">
        <v>1</v>
      </c>
      <c r="I222" t="s">
        <v>387</v>
      </c>
      <c r="J222" t="s">
        <v>3</v>
      </c>
      <c r="K222" t="s">
        <v>388</v>
      </c>
      <c r="L222">
        <v>1191</v>
      </c>
      <c r="N222">
        <v>1013</v>
      </c>
      <c r="O222" t="s">
        <v>389</v>
      </c>
      <c r="P222" t="s">
        <v>389</v>
      </c>
      <c r="Q222">
        <v>1</v>
      </c>
      <c r="X222">
        <v>87.4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1</v>
      </c>
      <c r="AF222" t="s">
        <v>22</v>
      </c>
      <c r="AG222">
        <v>17.48</v>
      </c>
      <c r="AH222">
        <v>2</v>
      </c>
      <c r="AI222">
        <v>38801197</v>
      </c>
      <c r="AJ222">
        <v>248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44" x14ac:dyDescent="0.2">
      <c r="A223">
        <f>ROW(Source!A487)</f>
        <v>487</v>
      </c>
      <c r="B223">
        <v>38801203</v>
      </c>
      <c r="C223">
        <v>38801196</v>
      </c>
      <c r="D223">
        <v>38464342</v>
      </c>
      <c r="E223">
        <v>1</v>
      </c>
      <c r="F223">
        <v>1</v>
      </c>
      <c r="G223">
        <v>27</v>
      </c>
      <c r="H223">
        <v>2</v>
      </c>
      <c r="I223" t="s">
        <v>520</v>
      </c>
      <c r="J223" t="s">
        <v>521</v>
      </c>
      <c r="K223" t="s">
        <v>522</v>
      </c>
      <c r="L223">
        <v>1368</v>
      </c>
      <c r="N223">
        <v>1011</v>
      </c>
      <c r="O223" t="s">
        <v>393</v>
      </c>
      <c r="P223" t="s">
        <v>393</v>
      </c>
      <c r="Q223">
        <v>1</v>
      </c>
      <c r="X223">
        <v>19</v>
      </c>
      <c r="Y223">
        <v>0</v>
      </c>
      <c r="Z223">
        <v>31</v>
      </c>
      <c r="AA223">
        <v>1.35</v>
      </c>
      <c r="AB223">
        <v>0</v>
      </c>
      <c r="AC223">
        <v>0</v>
      </c>
      <c r="AD223">
        <v>1</v>
      </c>
      <c r="AE223">
        <v>0</v>
      </c>
      <c r="AF223" t="s">
        <v>22</v>
      </c>
      <c r="AG223">
        <v>3.8000000000000003</v>
      </c>
      <c r="AH223">
        <v>2</v>
      </c>
      <c r="AI223">
        <v>38801198</v>
      </c>
      <c r="AJ223">
        <v>249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 x14ac:dyDescent="0.2">
      <c r="A224">
        <f>ROW(Source!A487)</f>
        <v>487</v>
      </c>
      <c r="B224">
        <v>38801204</v>
      </c>
      <c r="C224">
        <v>38801196</v>
      </c>
      <c r="D224">
        <v>38466161</v>
      </c>
      <c r="E224">
        <v>1</v>
      </c>
      <c r="F224">
        <v>1</v>
      </c>
      <c r="G224">
        <v>27</v>
      </c>
      <c r="H224">
        <v>3</v>
      </c>
      <c r="I224" t="s">
        <v>523</v>
      </c>
      <c r="J224" t="s">
        <v>524</v>
      </c>
      <c r="K224" t="s">
        <v>525</v>
      </c>
      <c r="L224">
        <v>1348</v>
      </c>
      <c r="N224">
        <v>1009</v>
      </c>
      <c r="O224" t="s">
        <v>155</v>
      </c>
      <c r="P224" t="s">
        <v>155</v>
      </c>
      <c r="Q224">
        <v>1000</v>
      </c>
      <c r="X224">
        <v>3.3E-3</v>
      </c>
      <c r="Y224">
        <v>105084.63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 t="s">
        <v>21</v>
      </c>
      <c r="AG224">
        <v>0</v>
      </c>
      <c r="AH224">
        <v>2</v>
      </c>
      <c r="AI224">
        <v>38801199</v>
      </c>
      <c r="AJ224">
        <v>250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spans="1:44" x14ac:dyDescent="0.2">
      <c r="A225">
        <f>ROW(Source!A487)</f>
        <v>487</v>
      </c>
      <c r="B225">
        <v>38801205</v>
      </c>
      <c r="C225">
        <v>38801196</v>
      </c>
      <c r="D225">
        <v>38467018</v>
      </c>
      <c r="E225">
        <v>1</v>
      </c>
      <c r="F225">
        <v>1</v>
      </c>
      <c r="G225">
        <v>27</v>
      </c>
      <c r="H225">
        <v>3</v>
      </c>
      <c r="I225" t="s">
        <v>496</v>
      </c>
      <c r="J225" t="s">
        <v>497</v>
      </c>
      <c r="K225" t="s">
        <v>498</v>
      </c>
      <c r="L225">
        <v>1348</v>
      </c>
      <c r="N225">
        <v>1009</v>
      </c>
      <c r="O225" t="s">
        <v>155</v>
      </c>
      <c r="P225" t="s">
        <v>155</v>
      </c>
      <c r="Q225">
        <v>1000</v>
      </c>
      <c r="X225">
        <v>1.4E-3</v>
      </c>
      <c r="Y225">
        <v>110781.14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0</v>
      </c>
      <c r="AF225" t="s">
        <v>21</v>
      </c>
      <c r="AG225">
        <v>0</v>
      </c>
      <c r="AH225">
        <v>2</v>
      </c>
      <c r="AI225">
        <v>38801200</v>
      </c>
      <c r="AJ225">
        <v>251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1:44" x14ac:dyDescent="0.2">
      <c r="A226">
        <f>ROW(Source!A487)</f>
        <v>487</v>
      </c>
      <c r="B226">
        <v>38801206</v>
      </c>
      <c r="C226">
        <v>38801196</v>
      </c>
      <c r="D226">
        <v>38469133</v>
      </c>
      <c r="E226">
        <v>1</v>
      </c>
      <c r="F226">
        <v>1</v>
      </c>
      <c r="G226">
        <v>27</v>
      </c>
      <c r="H226">
        <v>3</v>
      </c>
      <c r="I226" t="s">
        <v>526</v>
      </c>
      <c r="J226" t="s">
        <v>527</v>
      </c>
      <c r="K226" t="s">
        <v>528</v>
      </c>
      <c r="L226">
        <v>1348</v>
      </c>
      <c r="N226">
        <v>1009</v>
      </c>
      <c r="O226" t="s">
        <v>155</v>
      </c>
      <c r="P226" t="s">
        <v>155</v>
      </c>
      <c r="Q226">
        <v>1000</v>
      </c>
      <c r="X226">
        <v>1</v>
      </c>
      <c r="Y226">
        <v>75026.559999999998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0</v>
      </c>
      <c r="AF226" t="s">
        <v>21</v>
      </c>
      <c r="AG226">
        <v>0</v>
      </c>
      <c r="AH226">
        <v>2</v>
      </c>
      <c r="AI226">
        <v>38801201</v>
      </c>
      <c r="AJ226">
        <v>252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spans="1:44" x14ac:dyDescent="0.2">
      <c r="A227">
        <f>ROW(Source!A523)</f>
        <v>523</v>
      </c>
      <c r="B227">
        <v>38801277</v>
      </c>
      <c r="C227">
        <v>38801265</v>
      </c>
      <c r="D227">
        <v>38451941</v>
      </c>
      <c r="E227">
        <v>27</v>
      </c>
      <c r="F227">
        <v>1</v>
      </c>
      <c r="G227">
        <v>27</v>
      </c>
      <c r="H227">
        <v>1</v>
      </c>
      <c r="I227" t="s">
        <v>387</v>
      </c>
      <c r="J227" t="s">
        <v>3</v>
      </c>
      <c r="K227" t="s">
        <v>388</v>
      </c>
      <c r="L227">
        <v>1191</v>
      </c>
      <c r="N227">
        <v>1013</v>
      </c>
      <c r="O227" t="s">
        <v>389</v>
      </c>
      <c r="P227" t="s">
        <v>389</v>
      </c>
      <c r="Q227">
        <v>1</v>
      </c>
      <c r="X227">
        <v>2.97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1</v>
      </c>
      <c r="AF227" t="s">
        <v>3</v>
      </c>
      <c r="AG227">
        <v>2.97</v>
      </c>
      <c r="AH227">
        <v>2</v>
      </c>
      <c r="AI227">
        <v>38801266</v>
      </c>
      <c r="AJ227">
        <v>253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</row>
    <row r="228" spans="1:44" x14ac:dyDescent="0.2">
      <c r="A228">
        <f>ROW(Source!A523)</f>
        <v>523</v>
      </c>
      <c r="B228">
        <v>38801278</v>
      </c>
      <c r="C228">
        <v>38801265</v>
      </c>
      <c r="D228">
        <v>38464665</v>
      </c>
      <c r="E228">
        <v>1</v>
      </c>
      <c r="F228">
        <v>1</v>
      </c>
      <c r="G228">
        <v>27</v>
      </c>
      <c r="H228">
        <v>2</v>
      </c>
      <c r="I228" t="s">
        <v>586</v>
      </c>
      <c r="J228" t="s">
        <v>587</v>
      </c>
      <c r="K228" t="s">
        <v>588</v>
      </c>
      <c r="L228">
        <v>1368</v>
      </c>
      <c r="N228">
        <v>1011</v>
      </c>
      <c r="O228" t="s">
        <v>393</v>
      </c>
      <c r="P228" t="s">
        <v>393</v>
      </c>
      <c r="Q228">
        <v>1</v>
      </c>
      <c r="X228">
        <v>0.38400000000000001</v>
      </c>
      <c r="Y228">
        <v>0</v>
      </c>
      <c r="Z228">
        <v>351.29</v>
      </c>
      <c r="AA228">
        <v>7.02</v>
      </c>
      <c r="AB228">
        <v>0</v>
      </c>
      <c r="AC228">
        <v>0</v>
      </c>
      <c r="AD228">
        <v>1</v>
      </c>
      <c r="AE228">
        <v>0</v>
      </c>
      <c r="AF228" t="s">
        <v>3</v>
      </c>
      <c r="AG228">
        <v>0.38400000000000001</v>
      </c>
      <c r="AH228">
        <v>2</v>
      </c>
      <c r="AI228">
        <v>38801267</v>
      </c>
      <c r="AJ228">
        <v>254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</row>
    <row r="229" spans="1:44" x14ac:dyDescent="0.2">
      <c r="A229">
        <f>ROW(Source!A523)</f>
        <v>523</v>
      </c>
      <c r="B229">
        <v>38801279</v>
      </c>
      <c r="C229">
        <v>38801265</v>
      </c>
      <c r="D229">
        <v>38465050</v>
      </c>
      <c r="E229">
        <v>1</v>
      </c>
      <c r="F229">
        <v>1</v>
      </c>
      <c r="G229">
        <v>27</v>
      </c>
      <c r="H229">
        <v>2</v>
      </c>
      <c r="I229" t="s">
        <v>502</v>
      </c>
      <c r="J229" t="s">
        <v>503</v>
      </c>
      <c r="K229" t="s">
        <v>504</v>
      </c>
      <c r="L229">
        <v>1368</v>
      </c>
      <c r="N229">
        <v>1011</v>
      </c>
      <c r="O229" t="s">
        <v>393</v>
      </c>
      <c r="P229" t="s">
        <v>393</v>
      </c>
      <c r="Q229">
        <v>1</v>
      </c>
      <c r="X229">
        <v>0.115</v>
      </c>
      <c r="Y229">
        <v>0</v>
      </c>
      <c r="Z229">
        <v>5.94</v>
      </c>
      <c r="AA229">
        <v>0.02</v>
      </c>
      <c r="AB229">
        <v>0</v>
      </c>
      <c r="AC229">
        <v>0</v>
      </c>
      <c r="AD229">
        <v>1</v>
      </c>
      <c r="AE229">
        <v>0</v>
      </c>
      <c r="AF229" t="s">
        <v>3</v>
      </c>
      <c r="AG229">
        <v>0.115</v>
      </c>
      <c r="AH229">
        <v>2</v>
      </c>
      <c r="AI229">
        <v>38801268</v>
      </c>
      <c r="AJ229">
        <v>255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</row>
    <row r="230" spans="1:44" x14ac:dyDescent="0.2">
      <c r="A230">
        <f>ROW(Source!A523)</f>
        <v>523</v>
      </c>
      <c r="B230">
        <v>38801280</v>
      </c>
      <c r="C230">
        <v>38801265</v>
      </c>
      <c r="D230">
        <v>38465073</v>
      </c>
      <c r="E230">
        <v>1</v>
      </c>
      <c r="F230">
        <v>1</v>
      </c>
      <c r="G230">
        <v>27</v>
      </c>
      <c r="H230">
        <v>2</v>
      </c>
      <c r="I230" t="s">
        <v>589</v>
      </c>
      <c r="J230" t="s">
        <v>590</v>
      </c>
      <c r="K230" t="s">
        <v>591</v>
      </c>
      <c r="L230">
        <v>1368</v>
      </c>
      <c r="N230">
        <v>1011</v>
      </c>
      <c r="O230" t="s">
        <v>393</v>
      </c>
      <c r="P230" t="s">
        <v>393</v>
      </c>
      <c r="Q230">
        <v>1</v>
      </c>
      <c r="X230">
        <v>0.504</v>
      </c>
      <c r="Y230">
        <v>0</v>
      </c>
      <c r="Z230">
        <v>652.16</v>
      </c>
      <c r="AA230">
        <v>581.9</v>
      </c>
      <c r="AB230">
        <v>0</v>
      </c>
      <c r="AC230">
        <v>0</v>
      </c>
      <c r="AD230">
        <v>1</v>
      </c>
      <c r="AE230">
        <v>0</v>
      </c>
      <c r="AF230" t="s">
        <v>3</v>
      </c>
      <c r="AG230">
        <v>0.504</v>
      </c>
      <c r="AH230">
        <v>2</v>
      </c>
      <c r="AI230">
        <v>38801269</v>
      </c>
      <c r="AJ230">
        <v>256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</row>
    <row r="231" spans="1:44" x14ac:dyDescent="0.2">
      <c r="A231">
        <f>ROW(Source!A523)</f>
        <v>523</v>
      </c>
      <c r="B231">
        <v>38801281</v>
      </c>
      <c r="C231">
        <v>38801265</v>
      </c>
      <c r="D231">
        <v>38466030</v>
      </c>
      <c r="E231">
        <v>1</v>
      </c>
      <c r="F231">
        <v>1</v>
      </c>
      <c r="G231">
        <v>27</v>
      </c>
      <c r="H231">
        <v>3</v>
      </c>
      <c r="I231" t="s">
        <v>592</v>
      </c>
      <c r="J231" t="s">
        <v>593</v>
      </c>
      <c r="K231" t="s">
        <v>594</v>
      </c>
      <c r="L231">
        <v>1348</v>
      </c>
      <c r="N231">
        <v>1009</v>
      </c>
      <c r="O231" t="s">
        <v>155</v>
      </c>
      <c r="P231" t="s">
        <v>155</v>
      </c>
      <c r="Q231">
        <v>1000</v>
      </c>
      <c r="X231">
        <v>1.01E-3</v>
      </c>
      <c r="Y231">
        <v>38268.54</v>
      </c>
      <c r="Z231">
        <v>0</v>
      </c>
      <c r="AA231">
        <v>0</v>
      </c>
      <c r="AB231">
        <v>0</v>
      </c>
      <c r="AC231">
        <v>0</v>
      </c>
      <c r="AD231">
        <v>1</v>
      </c>
      <c r="AE231">
        <v>0</v>
      </c>
      <c r="AF231" t="s">
        <v>3</v>
      </c>
      <c r="AG231">
        <v>1.01E-3</v>
      </c>
      <c r="AH231">
        <v>2</v>
      </c>
      <c r="AI231">
        <v>38801270</v>
      </c>
      <c r="AJ231">
        <v>257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</row>
    <row r="232" spans="1:44" x14ac:dyDescent="0.2">
      <c r="A232">
        <f>ROW(Source!A523)</f>
        <v>523</v>
      </c>
      <c r="B232">
        <v>38801282</v>
      </c>
      <c r="C232">
        <v>38801265</v>
      </c>
      <c r="D232">
        <v>38465888</v>
      </c>
      <c r="E232">
        <v>1</v>
      </c>
      <c r="F232">
        <v>1</v>
      </c>
      <c r="G232">
        <v>27</v>
      </c>
      <c r="H232">
        <v>3</v>
      </c>
      <c r="I232" t="s">
        <v>292</v>
      </c>
      <c r="J232" t="s">
        <v>294</v>
      </c>
      <c r="K232" t="s">
        <v>293</v>
      </c>
      <c r="L232">
        <v>1348</v>
      </c>
      <c r="N232">
        <v>1009</v>
      </c>
      <c r="O232" t="s">
        <v>155</v>
      </c>
      <c r="P232" t="s">
        <v>155</v>
      </c>
      <c r="Q232">
        <v>1000</v>
      </c>
      <c r="X232">
        <v>0.14899999999999999</v>
      </c>
      <c r="Y232">
        <v>37537.54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F232" t="s">
        <v>3</v>
      </c>
      <c r="AG232">
        <v>0.14899999999999999</v>
      </c>
      <c r="AH232">
        <v>2</v>
      </c>
      <c r="AI232">
        <v>38801271</v>
      </c>
      <c r="AJ232">
        <v>258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</row>
    <row r="233" spans="1:44" x14ac:dyDescent="0.2">
      <c r="A233">
        <f>ROW(Source!A523)</f>
        <v>523</v>
      </c>
      <c r="B233">
        <v>38801283</v>
      </c>
      <c r="C233">
        <v>38801265</v>
      </c>
      <c r="D233">
        <v>38467018</v>
      </c>
      <c r="E233">
        <v>1</v>
      </c>
      <c r="F233">
        <v>1</v>
      </c>
      <c r="G233">
        <v>27</v>
      </c>
      <c r="H233">
        <v>3</v>
      </c>
      <c r="I233" t="s">
        <v>496</v>
      </c>
      <c r="J233" t="s">
        <v>497</v>
      </c>
      <c r="K233" t="s">
        <v>498</v>
      </c>
      <c r="L233">
        <v>1348</v>
      </c>
      <c r="N233">
        <v>1009</v>
      </c>
      <c r="O233" t="s">
        <v>155</v>
      </c>
      <c r="P233" t="s">
        <v>155</v>
      </c>
      <c r="Q233">
        <v>1000</v>
      </c>
      <c r="X233">
        <v>5.0000000000000001E-4</v>
      </c>
      <c r="Y233">
        <v>110781.14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0</v>
      </c>
      <c r="AF233" t="s">
        <v>3</v>
      </c>
      <c r="AG233">
        <v>5.0000000000000001E-4</v>
      </c>
      <c r="AH233">
        <v>2</v>
      </c>
      <c r="AI233">
        <v>38801275</v>
      </c>
      <c r="AJ233">
        <v>262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spans="1:44" x14ac:dyDescent="0.2">
      <c r="A234">
        <f>ROW(Source!A523)</f>
        <v>523</v>
      </c>
      <c r="B234">
        <v>38801284</v>
      </c>
      <c r="C234">
        <v>38801265</v>
      </c>
      <c r="D234">
        <v>38469339</v>
      </c>
      <c r="E234">
        <v>1</v>
      </c>
      <c r="F234">
        <v>1</v>
      </c>
      <c r="G234">
        <v>27</v>
      </c>
      <c r="H234">
        <v>3</v>
      </c>
      <c r="I234" t="s">
        <v>595</v>
      </c>
      <c r="J234" t="s">
        <v>596</v>
      </c>
      <c r="K234" t="s">
        <v>597</v>
      </c>
      <c r="L234">
        <v>1354</v>
      </c>
      <c r="N234">
        <v>1010</v>
      </c>
      <c r="O234" t="s">
        <v>198</v>
      </c>
      <c r="P234" t="s">
        <v>198</v>
      </c>
      <c r="Q234">
        <v>1</v>
      </c>
      <c r="X234">
        <v>1.4E-2</v>
      </c>
      <c r="Y234">
        <v>16.54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0</v>
      </c>
      <c r="AF234" t="s">
        <v>3</v>
      </c>
      <c r="AG234">
        <v>1.4E-2</v>
      </c>
      <c r="AH234">
        <v>2</v>
      </c>
      <c r="AI234">
        <v>38801276</v>
      </c>
      <c r="AJ234">
        <v>263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1:44" x14ac:dyDescent="0.2">
      <c r="A235">
        <f>ROW(Source!A527)</f>
        <v>527</v>
      </c>
      <c r="B235">
        <v>38801306</v>
      </c>
      <c r="C235">
        <v>38801288</v>
      </c>
      <c r="D235">
        <v>38451941</v>
      </c>
      <c r="E235">
        <v>27</v>
      </c>
      <c r="F235">
        <v>1</v>
      </c>
      <c r="G235">
        <v>27</v>
      </c>
      <c r="H235">
        <v>1</v>
      </c>
      <c r="I235" t="s">
        <v>387</v>
      </c>
      <c r="J235" t="s">
        <v>3</v>
      </c>
      <c r="K235" t="s">
        <v>388</v>
      </c>
      <c r="L235">
        <v>1191</v>
      </c>
      <c r="N235">
        <v>1013</v>
      </c>
      <c r="O235" t="s">
        <v>389</v>
      </c>
      <c r="P235" t="s">
        <v>389</v>
      </c>
      <c r="Q235">
        <v>1</v>
      </c>
      <c r="X235">
        <v>2.38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1</v>
      </c>
      <c r="AF235" t="s">
        <v>3</v>
      </c>
      <c r="AG235">
        <v>2.38</v>
      </c>
      <c r="AH235">
        <v>2</v>
      </c>
      <c r="AI235">
        <v>38801289</v>
      </c>
      <c r="AJ235">
        <v>264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spans="1:44" x14ac:dyDescent="0.2">
      <c r="A236">
        <f>ROW(Source!A527)</f>
        <v>527</v>
      </c>
      <c r="B236">
        <v>38801307</v>
      </c>
      <c r="C236">
        <v>38801288</v>
      </c>
      <c r="D236">
        <v>38464666</v>
      </c>
      <c r="E236">
        <v>1</v>
      </c>
      <c r="F236">
        <v>1</v>
      </c>
      <c r="G236">
        <v>27</v>
      </c>
      <c r="H236">
        <v>2</v>
      </c>
      <c r="I236" t="s">
        <v>499</v>
      </c>
      <c r="J236" t="s">
        <v>500</v>
      </c>
      <c r="K236" t="s">
        <v>501</v>
      </c>
      <c r="L236">
        <v>1368</v>
      </c>
      <c r="N236">
        <v>1011</v>
      </c>
      <c r="O236" t="s">
        <v>393</v>
      </c>
      <c r="P236" t="s">
        <v>393</v>
      </c>
      <c r="Q236">
        <v>1</v>
      </c>
      <c r="X236">
        <v>0.159</v>
      </c>
      <c r="Y236">
        <v>0</v>
      </c>
      <c r="Z236">
        <v>6.29</v>
      </c>
      <c r="AA236">
        <v>0.14000000000000001</v>
      </c>
      <c r="AB236">
        <v>0</v>
      </c>
      <c r="AC236">
        <v>0</v>
      </c>
      <c r="AD236">
        <v>1</v>
      </c>
      <c r="AE236">
        <v>0</v>
      </c>
      <c r="AF236" t="s">
        <v>3</v>
      </c>
      <c r="AG236">
        <v>0.159</v>
      </c>
      <c r="AH236">
        <v>2</v>
      </c>
      <c r="AI236">
        <v>38801290</v>
      </c>
      <c r="AJ236">
        <v>265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1:44" x14ac:dyDescent="0.2">
      <c r="A237">
        <f>ROW(Source!A527)</f>
        <v>527</v>
      </c>
      <c r="B237">
        <v>38801308</v>
      </c>
      <c r="C237">
        <v>38801288</v>
      </c>
      <c r="D237">
        <v>38465050</v>
      </c>
      <c r="E237">
        <v>1</v>
      </c>
      <c r="F237">
        <v>1</v>
      </c>
      <c r="G237">
        <v>27</v>
      </c>
      <c r="H237">
        <v>2</v>
      </c>
      <c r="I237" t="s">
        <v>502</v>
      </c>
      <c r="J237" t="s">
        <v>503</v>
      </c>
      <c r="K237" t="s">
        <v>504</v>
      </c>
      <c r="L237">
        <v>1368</v>
      </c>
      <c r="N237">
        <v>1011</v>
      </c>
      <c r="O237" t="s">
        <v>393</v>
      </c>
      <c r="P237" t="s">
        <v>393</v>
      </c>
      <c r="Q237">
        <v>1</v>
      </c>
      <c r="X237">
        <v>8.0000000000000002E-3</v>
      </c>
      <c r="Y237">
        <v>0</v>
      </c>
      <c r="Z237">
        <v>5.94</v>
      </c>
      <c r="AA237">
        <v>0.02</v>
      </c>
      <c r="AB237">
        <v>0</v>
      </c>
      <c r="AC237">
        <v>0</v>
      </c>
      <c r="AD237">
        <v>1</v>
      </c>
      <c r="AE237">
        <v>0</v>
      </c>
      <c r="AF237" t="s">
        <v>3</v>
      </c>
      <c r="AG237">
        <v>8.0000000000000002E-3</v>
      </c>
      <c r="AH237">
        <v>2</v>
      </c>
      <c r="AI237">
        <v>38801291</v>
      </c>
      <c r="AJ237">
        <v>266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</row>
    <row r="238" spans="1:44" x14ac:dyDescent="0.2">
      <c r="A238">
        <f>ROW(Source!A527)</f>
        <v>527</v>
      </c>
      <c r="B238">
        <v>38801309</v>
      </c>
      <c r="C238">
        <v>38801288</v>
      </c>
      <c r="D238">
        <v>38464479</v>
      </c>
      <c r="E238">
        <v>1</v>
      </c>
      <c r="F238">
        <v>1</v>
      </c>
      <c r="G238">
        <v>27</v>
      </c>
      <c r="H238">
        <v>2</v>
      </c>
      <c r="I238" t="s">
        <v>598</v>
      </c>
      <c r="J238" t="s">
        <v>599</v>
      </c>
      <c r="K238" t="s">
        <v>600</v>
      </c>
      <c r="L238">
        <v>1368</v>
      </c>
      <c r="N238">
        <v>1011</v>
      </c>
      <c r="O238" t="s">
        <v>393</v>
      </c>
      <c r="P238" t="s">
        <v>393</v>
      </c>
      <c r="Q238">
        <v>1</v>
      </c>
      <c r="X238">
        <v>0.10199999999999999</v>
      </c>
      <c r="Y238">
        <v>0</v>
      </c>
      <c r="Z238">
        <v>436.08</v>
      </c>
      <c r="AA238">
        <v>389.24</v>
      </c>
      <c r="AB238">
        <v>0</v>
      </c>
      <c r="AC238">
        <v>0</v>
      </c>
      <c r="AD238">
        <v>1</v>
      </c>
      <c r="AE238">
        <v>0</v>
      </c>
      <c r="AF238" t="s">
        <v>3</v>
      </c>
      <c r="AG238">
        <v>0.10199999999999999</v>
      </c>
      <c r="AH238">
        <v>2</v>
      </c>
      <c r="AI238">
        <v>38801292</v>
      </c>
      <c r="AJ238">
        <v>267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</row>
    <row r="239" spans="1:44" x14ac:dyDescent="0.2">
      <c r="A239">
        <f>ROW(Source!A527)</f>
        <v>527</v>
      </c>
      <c r="B239">
        <v>38801310</v>
      </c>
      <c r="C239">
        <v>38801288</v>
      </c>
      <c r="D239">
        <v>38464497</v>
      </c>
      <c r="E239">
        <v>1</v>
      </c>
      <c r="F239">
        <v>1</v>
      </c>
      <c r="G239">
        <v>27</v>
      </c>
      <c r="H239">
        <v>2</v>
      </c>
      <c r="I239" t="s">
        <v>601</v>
      </c>
      <c r="J239" t="s">
        <v>602</v>
      </c>
      <c r="K239" t="s">
        <v>603</v>
      </c>
      <c r="L239">
        <v>1368</v>
      </c>
      <c r="N239">
        <v>1011</v>
      </c>
      <c r="O239" t="s">
        <v>393</v>
      </c>
      <c r="P239" t="s">
        <v>393</v>
      </c>
      <c r="Q239">
        <v>1</v>
      </c>
      <c r="X239">
        <v>0.16700000000000001</v>
      </c>
      <c r="Y239">
        <v>0</v>
      </c>
      <c r="Z239">
        <v>10.82</v>
      </c>
      <c r="AA239">
        <v>2.97</v>
      </c>
      <c r="AB239">
        <v>0</v>
      </c>
      <c r="AC239">
        <v>0</v>
      </c>
      <c r="AD239">
        <v>1</v>
      </c>
      <c r="AE239">
        <v>0</v>
      </c>
      <c r="AF239" t="s">
        <v>3</v>
      </c>
      <c r="AG239">
        <v>0.16700000000000001</v>
      </c>
      <c r="AH239">
        <v>2</v>
      </c>
      <c r="AI239">
        <v>38801293</v>
      </c>
      <c r="AJ239">
        <v>268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</row>
    <row r="240" spans="1:44" x14ac:dyDescent="0.2">
      <c r="A240">
        <f>ROW(Source!A527)</f>
        <v>527</v>
      </c>
      <c r="B240">
        <v>38801311</v>
      </c>
      <c r="C240">
        <v>38801288</v>
      </c>
      <c r="D240">
        <v>38464534</v>
      </c>
      <c r="E240">
        <v>1</v>
      </c>
      <c r="F240">
        <v>1</v>
      </c>
      <c r="G240">
        <v>27</v>
      </c>
      <c r="H240">
        <v>2</v>
      </c>
      <c r="I240" t="s">
        <v>604</v>
      </c>
      <c r="J240" t="s">
        <v>605</v>
      </c>
      <c r="K240" t="s">
        <v>606</v>
      </c>
      <c r="L240">
        <v>1368</v>
      </c>
      <c r="N240">
        <v>1011</v>
      </c>
      <c r="O240" t="s">
        <v>393</v>
      </c>
      <c r="P240" t="s">
        <v>393</v>
      </c>
      <c r="Q240">
        <v>1</v>
      </c>
      <c r="X240">
        <v>0.16700000000000001</v>
      </c>
      <c r="Y240">
        <v>0</v>
      </c>
      <c r="Z240">
        <v>1289.26</v>
      </c>
      <c r="AA240">
        <v>637.17999999999995</v>
      </c>
      <c r="AB240">
        <v>0</v>
      </c>
      <c r="AC240">
        <v>0</v>
      </c>
      <c r="AD240">
        <v>1</v>
      </c>
      <c r="AE240">
        <v>0</v>
      </c>
      <c r="AF240" t="s">
        <v>3</v>
      </c>
      <c r="AG240">
        <v>0.16700000000000001</v>
      </c>
      <c r="AH240">
        <v>2</v>
      </c>
      <c r="AI240">
        <v>38801294</v>
      </c>
      <c r="AJ240">
        <v>269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</row>
    <row r="241" spans="1:44" x14ac:dyDescent="0.2">
      <c r="A241">
        <f>ROW(Source!A527)</f>
        <v>527</v>
      </c>
      <c r="B241">
        <v>38801312</v>
      </c>
      <c r="C241">
        <v>38801288</v>
      </c>
      <c r="D241">
        <v>38466030</v>
      </c>
      <c r="E241">
        <v>1</v>
      </c>
      <c r="F241">
        <v>1</v>
      </c>
      <c r="G241">
        <v>27</v>
      </c>
      <c r="H241">
        <v>3</v>
      </c>
      <c r="I241" t="s">
        <v>592</v>
      </c>
      <c r="J241" t="s">
        <v>593</v>
      </c>
      <c r="K241" t="s">
        <v>594</v>
      </c>
      <c r="L241">
        <v>1348</v>
      </c>
      <c r="N241">
        <v>1009</v>
      </c>
      <c r="O241" t="s">
        <v>155</v>
      </c>
      <c r="P241" t="s">
        <v>155</v>
      </c>
      <c r="Q241">
        <v>1000</v>
      </c>
      <c r="X241">
        <v>1.01E-3</v>
      </c>
      <c r="Y241">
        <v>38268.54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0</v>
      </c>
      <c r="AF241" t="s">
        <v>3</v>
      </c>
      <c r="AG241">
        <v>1.01E-3</v>
      </c>
      <c r="AH241">
        <v>2</v>
      </c>
      <c r="AI241">
        <v>38801295</v>
      </c>
      <c r="AJ241">
        <v>270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</row>
    <row r="242" spans="1:44" x14ac:dyDescent="0.2">
      <c r="A242">
        <f>ROW(Source!A527)</f>
        <v>527</v>
      </c>
      <c r="B242">
        <v>38801313</v>
      </c>
      <c r="C242">
        <v>38801288</v>
      </c>
      <c r="D242">
        <v>38466047</v>
      </c>
      <c r="E242">
        <v>1</v>
      </c>
      <c r="F242">
        <v>1</v>
      </c>
      <c r="G242">
        <v>27</v>
      </c>
      <c r="H242">
        <v>3</v>
      </c>
      <c r="I242" t="s">
        <v>607</v>
      </c>
      <c r="J242" t="s">
        <v>608</v>
      </c>
      <c r="K242" t="s">
        <v>609</v>
      </c>
      <c r="L242">
        <v>1348</v>
      </c>
      <c r="N242">
        <v>1009</v>
      </c>
      <c r="O242" t="s">
        <v>155</v>
      </c>
      <c r="P242" t="s">
        <v>155</v>
      </c>
      <c r="Q242">
        <v>1000</v>
      </c>
      <c r="X242">
        <v>2.3000000000000001E-4</v>
      </c>
      <c r="Y242">
        <v>37354.800000000003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0</v>
      </c>
      <c r="AF242" t="s">
        <v>3</v>
      </c>
      <c r="AG242">
        <v>2.3000000000000001E-4</v>
      </c>
      <c r="AH242">
        <v>2</v>
      </c>
      <c r="AI242">
        <v>38801296</v>
      </c>
      <c r="AJ242">
        <v>271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</row>
    <row r="243" spans="1:44" x14ac:dyDescent="0.2">
      <c r="A243">
        <f>ROW(Source!A527)</f>
        <v>527</v>
      </c>
      <c r="B243">
        <v>38801314</v>
      </c>
      <c r="C243">
        <v>38801288</v>
      </c>
      <c r="D243">
        <v>38466366</v>
      </c>
      <c r="E243">
        <v>1</v>
      </c>
      <c r="F243">
        <v>1</v>
      </c>
      <c r="G243">
        <v>27</v>
      </c>
      <c r="H243">
        <v>3</v>
      </c>
      <c r="I243" t="s">
        <v>423</v>
      </c>
      <c r="J243" t="s">
        <v>424</v>
      </c>
      <c r="K243" t="s">
        <v>425</v>
      </c>
      <c r="L243">
        <v>1339</v>
      </c>
      <c r="N243">
        <v>1007</v>
      </c>
      <c r="O243" t="s">
        <v>35</v>
      </c>
      <c r="P243" t="s">
        <v>35</v>
      </c>
      <c r="Q243">
        <v>1</v>
      </c>
      <c r="X243">
        <v>0.1</v>
      </c>
      <c r="Y243">
        <v>590.78</v>
      </c>
      <c r="Z243">
        <v>0</v>
      </c>
      <c r="AA243">
        <v>0</v>
      </c>
      <c r="AB243">
        <v>0</v>
      </c>
      <c r="AC243">
        <v>0</v>
      </c>
      <c r="AD243">
        <v>1</v>
      </c>
      <c r="AE243">
        <v>0</v>
      </c>
      <c r="AF243" t="s">
        <v>3</v>
      </c>
      <c r="AG243">
        <v>0.1</v>
      </c>
      <c r="AH243">
        <v>2</v>
      </c>
      <c r="AI243">
        <v>38801298</v>
      </c>
      <c r="AJ243">
        <v>273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 x14ac:dyDescent="0.2">
      <c r="A244">
        <f>ROW(Source!A527)</f>
        <v>527</v>
      </c>
      <c r="B244">
        <v>38801315</v>
      </c>
      <c r="C244">
        <v>38801288</v>
      </c>
      <c r="D244">
        <v>38466385</v>
      </c>
      <c r="E244">
        <v>1</v>
      </c>
      <c r="F244">
        <v>1</v>
      </c>
      <c r="G244">
        <v>27</v>
      </c>
      <c r="H244">
        <v>3</v>
      </c>
      <c r="I244" t="s">
        <v>610</v>
      </c>
      <c r="J244" t="s">
        <v>611</v>
      </c>
      <c r="K244" t="s">
        <v>612</v>
      </c>
      <c r="L244">
        <v>1339</v>
      </c>
      <c r="N244">
        <v>1007</v>
      </c>
      <c r="O244" t="s">
        <v>35</v>
      </c>
      <c r="P244" t="s">
        <v>35</v>
      </c>
      <c r="Q244">
        <v>1</v>
      </c>
      <c r="X244">
        <v>0.112</v>
      </c>
      <c r="Y244">
        <v>1436.5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 t="s">
        <v>3</v>
      </c>
      <c r="AG244">
        <v>0.112</v>
      </c>
      <c r="AH244">
        <v>2</v>
      </c>
      <c r="AI244">
        <v>38801299</v>
      </c>
      <c r="AJ244">
        <v>274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</row>
    <row r="245" spans="1:44" x14ac:dyDescent="0.2">
      <c r="A245">
        <f>ROW(Source!A527)</f>
        <v>527</v>
      </c>
      <c r="B245">
        <v>38801316</v>
      </c>
      <c r="C245">
        <v>38801288</v>
      </c>
      <c r="D245">
        <v>38465314</v>
      </c>
      <c r="E245">
        <v>1</v>
      </c>
      <c r="F245">
        <v>1</v>
      </c>
      <c r="G245">
        <v>27</v>
      </c>
      <c r="H245">
        <v>3</v>
      </c>
      <c r="I245" t="s">
        <v>426</v>
      </c>
      <c r="J245" t="s">
        <v>427</v>
      </c>
      <c r="K245" t="s">
        <v>428</v>
      </c>
      <c r="L245">
        <v>1348</v>
      </c>
      <c r="N245">
        <v>1009</v>
      </c>
      <c r="O245" t="s">
        <v>155</v>
      </c>
      <c r="P245" t="s">
        <v>155</v>
      </c>
      <c r="Q245">
        <v>1000</v>
      </c>
      <c r="X245">
        <v>4.0039999999999999E-2</v>
      </c>
      <c r="Y245">
        <v>4207.5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0</v>
      </c>
      <c r="AF245" t="s">
        <v>3</v>
      </c>
      <c r="AG245">
        <v>4.0039999999999999E-2</v>
      </c>
      <c r="AH245">
        <v>2</v>
      </c>
      <c r="AI245">
        <v>38801300</v>
      </c>
      <c r="AJ245">
        <v>275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</row>
    <row r="246" spans="1:44" x14ac:dyDescent="0.2">
      <c r="A246">
        <f>ROW(Source!A527)</f>
        <v>527</v>
      </c>
      <c r="B246">
        <v>38801317</v>
      </c>
      <c r="C246">
        <v>38801288</v>
      </c>
      <c r="D246">
        <v>38467111</v>
      </c>
      <c r="E246">
        <v>1</v>
      </c>
      <c r="F246">
        <v>1</v>
      </c>
      <c r="G246">
        <v>27</v>
      </c>
      <c r="H246">
        <v>3</v>
      </c>
      <c r="I246" t="s">
        <v>487</v>
      </c>
      <c r="J246" t="s">
        <v>488</v>
      </c>
      <c r="K246" t="s">
        <v>489</v>
      </c>
      <c r="L246">
        <v>1339</v>
      </c>
      <c r="N246">
        <v>1007</v>
      </c>
      <c r="O246" t="s">
        <v>35</v>
      </c>
      <c r="P246" t="s">
        <v>35</v>
      </c>
      <c r="Q246">
        <v>1</v>
      </c>
      <c r="X246">
        <v>2.9399999999999999E-2</v>
      </c>
      <c r="Y246">
        <v>35.25</v>
      </c>
      <c r="Z246">
        <v>0</v>
      </c>
      <c r="AA246">
        <v>0</v>
      </c>
      <c r="AB246">
        <v>0</v>
      </c>
      <c r="AC246">
        <v>0</v>
      </c>
      <c r="AD246">
        <v>1</v>
      </c>
      <c r="AE246">
        <v>0</v>
      </c>
      <c r="AF246" t="s">
        <v>3</v>
      </c>
      <c r="AG246">
        <v>2.9399999999999999E-2</v>
      </c>
      <c r="AH246">
        <v>2</v>
      </c>
      <c r="AI246">
        <v>38801301</v>
      </c>
      <c r="AJ246">
        <v>276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</row>
    <row r="247" spans="1:44" x14ac:dyDescent="0.2">
      <c r="A247">
        <f>ROW(Source!A527)</f>
        <v>527</v>
      </c>
      <c r="B247">
        <v>38801320</v>
      </c>
      <c r="C247">
        <v>38801288</v>
      </c>
      <c r="D247">
        <v>38471415</v>
      </c>
      <c r="E247">
        <v>1</v>
      </c>
      <c r="F247">
        <v>1</v>
      </c>
      <c r="G247">
        <v>27</v>
      </c>
      <c r="H247">
        <v>3</v>
      </c>
      <c r="I247" t="s">
        <v>308</v>
      </c>
      <c r="J247" t="s">
        <v>310</v>
      </c>
      <c r="K247" t="s">
        <v>309</v>
      </c>
      <c r="L247">
        <v>1301</v>
      </c>
      <c r="N247">
        <v>1003</v>
      </c>
      <c r="O247" t="s">
        <v>121</v>
      </c>
      <c r="P247" t="s">
        <v>121</v>
      </c>
      <c r="Q247">
        <v>1</v>
      </c>
      <c r="X247">
        <v>2.5</v>
      </c>
      <c r="Y247">
        <v>1312.08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  <c r="AF247" t="s">
        <v>3</v>
      </c>
      <c r="AG247">
        <v>2.5</v>
      </c>
      <c r="AH247">
        <v>2</v>
      </c>
      <c r="AI247">
        <v>38801304</v>
      </c>
      <c r="AJ247">
        <v>277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</row>
    <row r="248" spans="1:44" x14ac:dyDescent="0.2">
      <c r="A248">
        <f>ROW(Source!A527)</f>
        <v>527</v>
      </c>
      <c r="B248">
        <v>38801318</v>
      </c>
      <c r="C248">
        <v>38801288</v>
      </c>
      <c r="D248">
        <v>38465401</v>
      </c>
      <c r="E248">
        <v>1</v>
      </c>
      <c r="F248">
        <v>1</v>
      </c>
      <c r="G248">
        <v>27</v>
      </c>
      <c r="H248">
        <v>3</v>
      </c>
      <c r="I248" t="s">
        <v>511</v>
      </c>
      <c r="J248" t="s">
        <v>512</v>
      </c>
      <c r="K248" t="s">
        <v>513</v>
      </c>
      <c r="L248">
        <v>1339</v>
      </c>
      <c r="N248">
        <v>1007</v>
      </c>
      <c r="O248" t="s">
        <v>35</v>
      </c>
      <c r="P248" t="s">
        <v>35</v>
      </c>
      <c r="Q248">
        <v>1</v>
      </c>
      <c r="X248">
        <v>1.12E-2</v>
      </c>
      <c r="Y248">
        <v>53.38</v>
      </c>
      <c r="Z248">
        <v>0</v>
      </c>
      <c r="AA248">
        <v>0</v>
      </c>
      <c r="AB248">
        <v>0</v>
      </c>
      <c r="AC248">
        <v>0</v>
      </c>
      <c r="AD248">
        <v>1</v>
      </c>
      <c r="AE248">
        <v>0</v>
      </c>
      <c r="AF248" t="s">
        <v>3</v>
      </c>
      <c r="AG248">
        <v>1.12E-2</v>
      </c>
      <c r="AH248">
        <v>2</v>
      </c>
      <c r="AI248">
        <v>38801302</v>
      </c>
      <c r="AJ248">
        <v>279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</row>
    <row r="249" spans="1:44" x14ac:dyDescent="0.2">
      <c r="A249">
        <f>ROW(Source!A527)</f>
        <v>527</v>
      </c>
      <c r="B249">
        <v>38801319</v>
      </c>
      <c r="C249">
        <v>38801288</v>
      </c>
      <c r="D249">
        <v>38465422</v>
      </c>
      <c r="E249">
        <v>1</v>
      </c>
      <c r="F249">
        <v>1</v>
      </c>
      <c r="G249">
        <v>27</v>
      </c>
      <c r="H249">
        <v>3</v>
      </c>
      <c r="I249" t="s">
        <v>514</v>
      </c>
      <c r="J249" t="s">
        <v>515</v>
      </c>
      <c r="K249" t="s">
        <v>516</v>
      </c>
      <c r="L249">
        <v>1339</v>
      </c>
      <c r="N249">
        <v>1007</v>
      </c>
      <c r="O249" t="s">
        <v>35</v>
      </c>
      <c r="P249" t="s">
        <v>35</v>
      </c>
      <c r="Q249">
        <v>1</v>
      </c>
      <c r="X249">
        <v>5.5300000000000002E-3</v>
      </c>
      <c r="Y249">
        <v>32.520000000000003</v>
      </c>
      <c r="Z249">
        <v>0</v>
      </c>
      <c r="AA249">
        <v>0</v>
      </c>
      <c r="AB249">
        <v>0</v>
      </c>
      <c r="AC249">
        <v>0</v>
      </c>
      <c r="AD249">
        <v>1</v>
      </c>
      <c r="AE249">
        <v>0</v>
      </c>
      <c r="AF249" t="s">
        <v>3</v>
      </c>
      <c r="AG249">
        <v>5.5300000000000002E-3</v>
      </c>
      <c r="AH249">
        <v>2</v>
      </c>
      <c r="AI249">
        <v>38801303</v>
      </c>
      <c r="AJ249">
        <v>280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</row>
    <row r="250" spans="1:44" x14ac:dyDescent="0.2">
      <c r="A250">
        <f>ROW(Source!A530)</f>
        <v>530</v>
      </c>
      <c r="B250">
        <v>38801332</v>
      </c>
      <c r="C250">
        <v>38801323</v>
      </c>
      <c r="D250">
        <v>38451941</v>
      </c>
      <c r="E250">
        <v>27</v>
      </c>
      <c r="F250">
        <v>1</v>
      </c>
      <c r="G250">
        <v>27</v>
      </c>
      <c r="H250">
        <v>1</v>
      </c>
      <c r="I250" t="s">
        <v>387</v>
      </c>
      <c r="J250" t="s">
        <v>3</v>
      </c>
      <c r="K250" t="s">
        <v>388</v>
      </c>
      <c r="L250">
        <v>1191</v>
      </c>
      <c r="N250">
        <v>1013</v>
      </c>
      <c r="O250" t="s">
        <v>389</v>
      </c>
      <c r="P250" t="s">
        <v>389</v>
      </c>
      <c r="Q250">
        <v>1</v>
      </c>
      <c r="X250">
        <v>2.97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1</v>
      </c>
      <c r="AF250" t="s">
        <v>3</v>
      </c>
      <c r="AG250">
        <v>2.97</v>
      </c>
      <c r="AH250">
        <v>2</v>
      </c>
      <c r="AI250">
        <v>38801324</v>
      </c>
      <c r="AJ250">
        <v>281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</row>
    <row r="251" spans="1:44" x14ac:dyDescent="0.2">
      <c r="A251">
        <f>ROW(Source!A530)</f>
        <v>530</v>
      </c>
      <c r="B251">
        <v>38801333</v>
      </c>
      <c r="C251">
        <v>38801323</v>
      </c>
      <c r="D251">
        <v>38464665</v>
      </c>
      <c r="E251">
        <v>1</v>
      </c>
      <c r="F251">
        <v>1</v>
      </c>
      <c r="G251">
        <v>27</v>
      </c>
      <c r="H251">
        <v>2</v>
      </c>
      <c r="I251" t="s">
        <v>586</v>
      </c>
      <c r="J251" t="s">
        <v>587</v>
      </c>
      <c r="K251" t="s">
        <v>588</v>
      </c>
      <c r="L251">
        <v>1368</v>
      </c>
      <c r="N251">
        <v>1011</v>
      </c>
      <c r="O251" t="s">
        <v>393</v>
      </c>
      <c r="P251" t="s">
        <v>393</v>
      </c>
      <c r="Q251">
        <v>1</v>
      </c>
      <c r="X251">
        <v>0.38400000000000001</v>
      </c>
      <c r="Y251">
        <v>0</v>
      </c>
      <c r="Z251">
        <v>351.29</v>
      </c>
      <c r="AA251">
        <v>7.02</v>
      </c>
      <c r="AB251">
        <v>0</v>
      </c>
      <c r="AC251">
        <v>0</v>
      </c>
      <c r="AD251">
        <v>1</v>
      </c>
      <c r="AE251">
        <v>0</v>
      </c>
      <c r="AF251" t="s">
        <v>3</v>
      </c>
      <c r="AG251">
        <v>0.38400000000000001</v>
      </c>
      <c r="AH251">
        <v>2</v>
      </c>
      <c r="AI251">
        <v>38801325</v>
      </c>
      <c r="AJ251">
        <v>282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</row>
    <row r="252" spans="1:44" x14ac:dyDescent="0.2">
      <c r="A252">
        <f>ROW(Source!A530)</f>
        <v>530</v>
      </c>
      <c r="B252">
        <v>38801334</v>
      </c>
      <c r="C252">
        <v>38801323</v>
      </c>
      <c r="D252">
        <v>38465050</v>
      </c>
      <c r="E252">
        <v>1</v>
      </c>
      <c r="F252">
        <v>1</v>
      </c>
      <c r="G252">
        <v>27</v>
      </c>
      <c r="H252">
        <v>2</v>
      </c>
      <c r="I252" t="s">
        <v>502</v>
      </c>
      <c r="J252" t="s">
        <v>503</v>
      </c>
      <c r="K252" t="s">
        <v>504</v>
      </c>
      <c r="L252">
        <v>1368</v>
      </c>
      <c r="N252">
        <v>1011</v>
      </c>
      <c r="O252" t="s">
        <v>393</v>
      </c>
      <c r="P252" t="s">
        <v>393</v>
      </c>
      <c r="Q252">
        <v>1</v>
      </c>
      <c r="X252">
        <v>0.115</v>
      </c>
      <c r="Y252">
        <v>0</v>
      </c>
      <c r="Z252">
        <v>5.94</v>
      </c>
      <c r="AA252">
        <v>0.02</v>
      </c>
      <c r="AB252">
        <v>0</v>
      </c>
      <c r="AC252">
        <v>0</v>
      </c>
      <c r="AD252">
        <v>1</v>
      </c>
      <c r="AE252">
        <v>0</v>
      </c>
      <c r="AF252" t="s">
        <v>3</v>
      </c>
      <c r="AG252">
        <v>0.115</v>
      </c>
      <c r="AH252">
        <v>2</v>
      </c>
      <c r="AI252">
        <v>38801326</v>
      </c>
      <c r="AJ252">
        <v>283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</row>
    <row r="253" spans="1:44" x14ac:dyDescent="0.2">
      <c r="A253">
        <f>ROW(Source!A530)</f>
        <v>530</v>
      </c>
      <c r="B253">
        <v>38801335</v>
      </c>
      <c r="C253">
        <v>38801323</v>
      </c>
      <c r="D253">
        <v>38465073</v>
      </c>
      <c r="E253">
        <v>1</v>
      </c>
      <c r="F253">
        <v>1</v>
      </c>
      <c r="G253">
        <v>27</v>
      </c>
      <c r="H253">
        <v>2</v>
      </c>
      <c r="I253" t="s">
        <v>589</v>
      </c>
      <c r="J253" t="s">
        <v>590</v>
      </c>
      <c r="K253" t="s">
        <v>591</v>
      </c>
      <c r="L253">
        <v>1368</v>
      </c>
      <c r="N253">
        <v>1011</v>
      </c>
      <c r="O253" t="s">
        <v>393</v>
      </c>
      <c r="P253" t="s">
        <v>393</v>
      </c>
      <c r="Q253">
        <v>1</v>
      </c>
      <c r="X253">
        <v>0.504</v>
      </c>
      <c r="Y253">
        <v>0</v>
      </c>
      <c r="Z253">
        <v>652.16</v>
      </c>
      <c r="AA253">
        <v>581.9</v>
      </c>
      <c r="AB253">
        <v>0</v>
      </c>
      <c r="AC253">
        <v>0</v>
      </c>
      <c r="AD253">
        <v>1</v>
      </c>
      <c r="AE253">
        <v>0</v>
      </c>
      <c r="AF253" t="s">
        <v>3</v>
      </c>
      <c r="AG253">
        <v>0.504</v>
      </c>
      <c r="AH253">
        <v>2</v>
      </c>
      <c r="AI253">
        <v>38801327</v>
      </c>
      <c r="AJ253">
        <v>284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</row>
    <row r="254" spans="1:44" x14ac:dyDescent="0.2">
      <c r="A254">
        <f>ROW(Source!A530)</f>
        <v>530</v>
      </c>
      <c r="B254">
        <v>38801336</v>
      </c>
      <c r="C254">
        <v>38801323</v>
      </c>
      <c r="D254">
        <v>38466030</v>
      </c>
      <c r="E254">
        <v>1</v>
      </c>
      <c r="F254">
        <v>1</v>
      </c>
      <c r="G254">
        <v>27</v>
      </c>
      <c r="H254">
        <v>3</v>
      </c>
      <c r="I254" t="s">
        <v>592</v>
      </c>
      <c r="J254" t="s">
        <v>593</v>
      </c>
      <c r="K254" t="s">
        <v>594</v>
      </c>
      <c r="L254">
        <v>1348</v>
      </c>
      <c r="N254">
        <v>1009</v>
      </c>
      <c r="O254" t="s">
        <v>155</v>
      </c>
      <c r="P254" t="s">
        <v>155</v>
      </c>
      <c r="Q254">
        <v>1000</v>
      </c>
      <c r="X254">
        <v>1.01E-3</v>
      </c>
      <c r="Y254">
        <v>38268.54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 t="s">
        <v>3</v>
      </c>
      <c r="AG254">
        <v>1.01E-3</v>
      </c>
      <c r="AH254">
        <v>2</v>
      </c>
      <c r="AI254">
        <v>38801328</v>
      </c>
      <c r="AJ254">
        <v>285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</row>
    <row r="255" spans="1:44" x14ac:dyDescent="0.2">
      <c r="A255">
        <f>ROW(Source!A530)</f>
        <v>530</v>
      </c>
      <c r="B255">
        <v>38801337</v>
      </c>
      <c r="C255">
        <v>38801323</v>
      </c>
      <c r="D255">
        <v>38465888</v>
      </c>
      <c r="E255">
        <v>1</v>
      </c>
      <c r="F255">
        <v>1</v>
      </c>
      <c r="G255">
        <v>27</v>
      </c>
      <c r="H255">
        <v>3</v>
      </c>
      <c r="I255" t="s">
        <v>292</v>
      </c>
      <c r="J255" t="s">
        <v>294</v>
      </c>
      <c r="K255" t="s">
        <v>293</v>
      </c>
      <c r="L255">
        <v>1348</v>
      </c>
      <c r="N255">
        <v>1009</v>
      </c>
      <c r="O255" t="s">
        <v>155</v>
      </c>
      <c r="P255" t="s">
        <v>155</v>
      </c>
      <c r="Q255">
        <v>1000</v>
      </c>
      <c r="X255">
        <v>0.14899999999999999</v>
      </c>
      <c r="Y255">
        <v>37537.54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0</v>
      </c>
      <c r="AF255" t="s">
        <v>3</v>
      </c>
      <c r="AG255">
        <v>0.14899999999999999</v>
      </c>
      <c r="AH255">
        <v>2</v>
      </c>
      <c r="AI255">
        <v>38801329</v>
      </c>
      <c r="AJ255">
        <v>286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</row>
    <row r="256" spans="1:44" x14ac:dyDescent="0.2">
      <c r="A256">
        <f>ROW(Source!A530)</f>
        <v>530</v>
      </c>
      <c r="B256">
        <v>38801338</v>
      </c>
      <c r="C256">
        <v>38801323</v>
      </c>
      <c r="D256">
        <v>38467018</v>
      </c>
      <c r="E256">
        <v>1</v>
      </c>
      <c r="F256">
        <v>1</v>
      </c>
      <c r="G256">
        <v>27</v>
      </c>
      <c r="H256">
        <v>3</v>
      </c>
      <c r="I256" t="s">
        <v>496</v>
      </c>
      <c r="J256" t="s">
        <v>497</v>
      </c>
      <c r="K256" t="s">
        <v>498</v>
      </c>
      <c r="L256">
        <v>1348</v>
      </c>
      <c r="N256">
        <v>1009</v>
      </c>
      <c r="O256" t="s">
        <v>155</v>
      </c>
      <c r="P256" t="s">
        <v>155</v>
      </c>
      <c r="Q256">
        <v>1000</v>
      </c>
      <c r="X256">
        <v>5.0000000000000001E-4</v>
      </c>
      <c r="Y256">
        <v>110781.14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 t="s">
        <v>3</v>
      </c>
      <c r="AG256">
        <v>5.0000000000000001E-4</v>
      </c>
      <c r="AH256">
        <v>2</v>
      </c>
      <c r="AI256">
        <v>38801330</v>
      </c>
      <c r="AJ256">
        <v>287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</row>
    <row r="257" spans="1:44" x14ac:dyDescent="0.2">
      <c r="A257">
        <f>ROW(Source!A530)</f>
        <v>530</v>
      </c>
      <c r="B257">
        <v>38801339</v>
      </c>
      <c r="C257">
        <v>38801323</v>
      </c>
      <c r="D257">
        <v>38469339</v>
      </c>
      <c r="E257">
        <v>1</v>
      </c>
      <c r="F257">
        <v>1</v>
      </c>
      <c r="G257">
        <v>27</v>
      </c>
      <c r="H257">
        <v>3</v>
      </c>
      <c r="I257" t="s">
        <v>595</v>
      </c>
      <c r="J257" t="s">
        <v>596</v>
      </c>
      <c r="K257" t="s">
        <v>597</v>
      </c>
      <c r="L257">
        <v>1354</v>
      </c>
      <c r="N257">
        <v>1010</v>
      </c>
      <c r="O257" t="s">
        <v>198</v>
      </c>
      <c r="P257" t="s">
        <v>198</v>
      </c>
      <c r="Q257">
        <v>1</v>
      </c>
      <c r="X257">
        <v>1.4E-2</v>
      </c>
      <c r="Y257">
        <v>16.54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 t="s">
        <v>3</v>
      </c>
      <c r="AG257">
        <v>1.4E-2</v>
      </c>
      <c r="AH257">
        <v>2</v>
      </c>
      <c r="AI257">
        <v>38801331</v>
      </c>
      <c r="AJ257">
        <v>288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</row>
    <row r="258" spans="1:44" x14ac:dyDescent="0.2">
      <c r="A258">
        <f>ROW(Source!A531)</f>
        <v>531</v>
      </c>
      <c r="B258">
        <v>38801344</v>
      </c>
      <c r="C258">
        <v>38801340</v>
      </c>
      <c r="D258">
        <v>38451941</v>
      </c>
      <c r="E258">
        <v>27</v>
      </c>
      <c r="F258">
        <v>1</v>
      </c>
      <c r="G258">
        <v>27</v>
      </c>
      <c r="H258">
        <v>1</v>
      </c>
      <c r="I258" t="s">
        <v>387</v>
      </c>
      <c r="J258" t="s">
        <v>3</v>
      </c>
      <c r="K258" t="s">
        <v>388</v>
      </c>
      <c r="L258">
        <v>1191</v>
      </c>
      <c r="N258">
        <v>1013</v>
      </c>
      <c r="O258" t="s">
        <v>389</v>
      </c>
      <c r="P258" t="s">
        <v>389</v>
      </c>
      <c r="Q258">
        <v>1</v>
      </c>
      <c r="X258">
        <v>73.8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1</v>
      </c>
      <c r="AE258">
        <v>1</v>
      </c>
      <c r="AF258" t="s">
        <v>3</v>
      </c>
      <c r="AG258">
        <v>73.8</v>
      </c>
      <c r="AH258">
        <v>2</v>
      </c>
      <c r="AI258">
        <v>38801341</v>
      </c>
      <c r="AJ258">
        <v>289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</row>
    <row r="259" spans="1:44" x14ac:dyDescent="0.2">
      <c r="A259">
        <f>ROW(Source!A531)</f>
        <v>531</v>
      </c>
      <c r="B259">
        <v>38801345</v>
      </c>
      <c r="C259">
        <v>38801340</v>
      </c>
      <c r="D259">
        <v>38465557</v>
      </c>
      <c r="E259">
        <v>1</v>
      </c>
      <c r="F259">
        <v>1</v>
      </c>
      <c r="G259">
        <v>27</v>
      </c>
      <c r="H259">
        <v>3</v>
      </c>
      <c r="I259" t="s">
        <v>613</v>
      </c>
      <c r="J259" t="s">
        <v>614</v>
      </c>
      <c r="K259" t="s">
        <v>615</v>
      </c>
      <c r="L259">
        <v>1348</v>
      </c>
      <c r="N259">
        <v>1009</v>
      </c>
      <c r="O259" t="s">
        <v>155</v>
      </c>
      <c r="P259" t="s">
        <v>155</v>
      </c>
      <c r="Q259">
        <v>1000</v>
      </c>
      <c r="X259">
        <v>1.1299999999999999E-2</v>
      </c>
      <c r="Y259">
        <v>68627.56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 t="s">
        <v>3</v>
      </c>
      <c r="AG259">
        <v>1.1299999999999999E-2</v>
      </c>
      <c r="AH259">
        <v>2</v>
      </c>
      <c r="AI259">
        <v>38801342</v>
      </c>
      <c r="AJ259">
        <v>290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</row>
    <row r="260" spans="1:44" x14ac:dyDescent="0.2">
      <c r="A260">
        <f>ROW(Source!A531)</f>
        <v>531</v>
      </c>
      <c r="B260">
        <v>38801346</v>
      </c>
      <c r="C260">
        <v>38801340</v>
      </c>
      <c r="D260">
        <v>38465600</v>
      </c>
      <c r="E260">
        <v>1</v>
      </c>
      <c r="F260">
        <v>1</v>
      </c>
      <c r="G260">
        <v>27</v>
      </c>
      <c r="H260">
        <v>3</v>
      </c>
      <c r="I260" t="s">
        <v>532</v>
      </c>
      <c r="J260" t="s">
        <v>533</v>
      </c>
      <c r="K260" t="s">
        <v>534</v>
      </c>
      <c r="L260">
        <v>1346</v>
      </c>
      <c r="N260">
        <v>1009</v>
      </c>
      <c r="O260" t="s">
        <v>474</v>
      </c>
      <c r="P260" t="s">
        <v>474</v>
      </c>
      <c r="Q260">
        <v>1</v>
      </c>
      <c r="X260">
        <v>6.8</v>
      </c>
      <c r="Y260">
        <v>78.180000000000007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0</v>
      </c>
      <c r="AF260" t="s">
        <v>3</v>
      </c>
      <c r="AG260">
        <v>6.8</v>
      </c>
      <c r="AH260">
        <v>2</v>
      </c>
      <c r="AI260">
        <v>38801343</v>
      </c>
      <c r="AJ260">
        <v>291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</row>
    <row r="261" spans="1:44" x14ac:dyDescent="0.2">
      <c r="A261">
        <f>ROW(Source!A532)</f>
        <v>532</v>
      </c>
      <c r="B261">
        <v>38801362</v>
      </c>
      <c r="C261">
        <v>38801347</v>
      </c>
      <c r="D261">
        <v>38451941</v>
      </c>
      <c r="E261">
        <v>27</v>
      </c>
      <c r="F261">
        <v>1</v>
      </c>
      <c r="G261">
        <v>27</v>
      </c>
      <c r="H261">
        <v>1</v>
      </c>
      <c r="I261" t="s">
        <v>387</v>
      </c>
      <c r="J261" t="s">
        <v>3</v>
      </c>
      <c r="K261" t="s">
        <v>388</v>
      </c>
      <c r="L261">
        <v>1191</v>
      </c>
      <c r="N261">
        <v>1013</v>
      </c>
      <c r="O261" t="s">
        <v>389</v>
      </c>
      <c r="P261" t="s">
        <v>389</v>
      </c>
      <c r="Q261">
        <v>1</v>
      </c>
      <c r="X261">
        <v>91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1</v>
      </c>
      <c r="AF261" t="s">
        <v>3</v>
      </c>
      <c r="AG261">
        <v>91</v>
      </c>
      <c r="AH261">
        <v>2</v>
      </c>
      <c r="AI261">
        <v>38801348</v>
      </c>
      <c r="AJ261">
        <v>292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</row>
    <row r="262" spans="1:44" x14ac:dyDescent="0.2">
      <c r="A262">
        <f>ROW(Source!A532)</f>
        <v>532</v>
      </c>
      <c r="B262">
        <v>38801363</v>
      </c>
      <c r="C262">
        <v>38801347</v>
      </c>
      <c r="D262">
        <v>38465122</v>
      </c>
      <c r="E262">
        <v>1</v>
      </c>
      <c r="F262">
        <v>1</v>
      </c>
      <c r="G262">
        <v>27</v>
      </c>
      <c r="H262">
        <v>2</v>
      </c>
      <c r="I262" t="s">
        <v>456</v>
      </c>
      <c r="J262" t="s">
        <v>457</v>
      </c>
      <c r="K262" t="s">
        <v>458</v>
      </c>
      <c r="L262">
        <v>1368</v>
      </c>
      <c r="N262">
        <v>1011</v>
      </c>
      <c r="O262" t="s">
        <v>393</v>
      </c>
      <c r="P262" t="s">
        <v>393</v>
      </c>
      <c r="Q262">
        <v>1</v>
      </c>
      <c r="X262">
        <v>11.96</v>
      </c>
      <c r="Y262">
        <v>0</v>
      </c>
      <c r="Z262">
        <v>7.44</v>
      </c>
      <c r="AA262">
        <v>0.98</v>
      </c>
      <c r="AB262">
        <v>0</v>
      </c>
      <c r="AC262">
        <v>0</v>
      </c>
      <c r="AD262">
        <v>1</v>
      </c>
      <c r="AE262">
        <v>0</v>
      </c>
      <c r="AF262" t="s">
        <v>3</v>
      </c>
      <c r="AG262">
        <v>11.96</v>
      </c>
      <c r="AH262">
        <v>2</v>
      </c>
      <c r="AI262">
        <v>38801349</v>
      </c>
      <c r="AJ262">
        <v>293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</row>
    <row r="263" spans="1:44" x14ac:dyDescent="0.2">
      <c r="A263">
        <f>ROW(Source!A532)</f>
        <v>532</v>
      </c>
      <c r="B263">
        <v>38801364</v>
      </c>
      <c r="C263">
        <v>38801347</v>
      </c>
      <c r="D263">
        <v>38465064</v>
      </c>
      <c r="E263">
        <v>1</v>
      </c>
      <c r="F263">
        <v>1</v>
      </c>
      <c r="G263">
        <v>27</v>
      </c>
      <c r="H263">
        <v>2</v>
      </c>
      <c r="I263" t="s">
        <v>535</v>
      </c>
      <c r="J263" t="s">
        <v>536</v>
      </c>
      <c r="K263" t="s">
        <v>537</v>
      </c>
      <c r="L263">
        <v>1368</v>
      </c>
      <c r="N263">
        <v>1011</v>
      </c>
      <c r="O263" t="s">
        <v>393</v>
      </c>
      <c r="P263" t="s">
        <v>393</v>
      </c>
      <c r="Q263">
        <v>1</v>
      </c>
      <c r="X263">
        <v>2.0499999999999998</v>
      </c>
      <c r="Y263">
        <v>0</v>
      </c>
      <c r="Z263">
        <v>4.58</v>
      </c>
      <c r="AA263">
        <v>0.01</v>
      </c>
      <c r="AB263">
        <v>0</v>
      </c>
      <c r="AC263">
        <v>0</v>
      </c>
      <c r="AD263">
        <v>1</v>
      </c>
      <c r="AE263">
        <v>0</v>
      </c>
      <c r="AF263" t="s">
        <v>3</v>
      </c>
      <c r="AG263">
        <v>2.0499999999999998</v>
      </c>
      <c r="AH263">
        <v>2</v>
      </c>
      <c r="AI263">
        <v>38801350</v>
      </c>
      <c r="AJ263">
        <v>294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</row>
    <row r="264" spans="1:44" x14ac:dyDescent="0.2">
      <c r="A264">
        <f>ROW(Source!A532)</f>
        <v>532</v>
      </c>
      <c r="B264">
        <v>38801365</v>
      </c>
      <c r="C264">
        <v>38801347</v>
      </c>
      <c r="D264">
        <v>38465084</v>
      </c>
      <c r="E264">
        <v>1</v>
      </c>
      <c r="F264">
        <v>1</v>
      </c>
      <c r="G264">
        <v>27</v>
      </c>
      <c r="H264">
        <v>2</v>
      </c>
      <c r="I264" t="s">
        <v>538</v>
      </c>
      <c r="J264" t="s">
        <v>539</v>
      </c>
      <c r="K264" t="s">
        <v>540</v>
      </c>
      <c r="L264">
        <v>1368</v>
      </c>
      <c r="N264">
        <v>1011</v>
      </c>
      <c r="O264" t="s">
        <v>393</v>
      </c>
      <c r="P264" t="s">
        <v>393</v>
      </c>
      <c r="Q264">
        <v>1</v>
      </c>
      <c r="X264">
        <v>2.4</v>
      </c>
      <c r="Y264">
        <v>0</v>
      </c>
      <c r="Z264">
        <v>5.08</v>
      </c>
      <c r="AA264">
        <v>0.01</v>
      </c>
      <c r="AB264">
        <v>0</v>
      </c>
      <c r="AC264">
        <v>0</v>
      </c>
      <c r="AD264">
        <v>1</v>
      </c>
      <c r="AE264">
        <v>0</v>
      </c>
      <c r="AF264" t="s">
        <v>3</v>
      </c>
      <c r="AG264">
        <v>2.4</v>
      </c>
      <c r="AH264">
        <v>2</v>
      </c>
      <c r="AI264">
        <v>38801351</v>
      </c>
      <c r="AJ264">
        <v>295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</row>
    <row r="265" spans="1:44" x14ac:dyDescent="0.2">
      <c r="A265">
        <f>ROW(Source!A532)</f>
        <v>532</v>
      </c>
      <c r="B265">
        <v>38801366</v>
      </c>
      <c r="C265">
        <v>38801347</v>
      </c>
      <c r="D265">
        <v>38466764</v>
      </c>
      <c r="E265">
        <v>1</v>
      </c>
      <c r="F265">
        <v>1</v>
      </c>
      <c r="G265">
        <v>27</v>
      </c>
      <c r="H265">
        <v>3</v>
      </c>
      <c r="I265" t="s">
        <v>541</v>
      </c>
      <c r="J265" t="s">
        <v>542</v>
      </c>
      <c r="K265" t="s">
        <v>543</v>
      </c>
      <c r="L265">
        <v>1301</v>
      </c>
      <c r="N265">
        <v>1003</v>
      </c>
      <c r="O265" t="s">
        <v>121</v>
      </c>
      <c r="P265" t="s">
        <v>121</v>
      </c>
      <c r="Q265">
        <v>1</v>
      </c>
      <c r="X265">
        <v>43.73</v>
      </c>
      <c r="Y265">
        <v>16.09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0</v>
      </c>
      <c r="AF265" t="s">
        <v>3</v>
      </c>
      <c r="AG265">
        <v>43.73</v>
      </c>
      <c r="AH265">
        <v>2</v>
      </c>
      <c r="AI265">
        <v>38801352</v>
      </c>
      <c r="AJ265">
        <v>296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</row>
    <row r="266" spans="1:44" x14ac:dyDescent="0.2">
      <c r="A266">
        <f>ROW(Source!A532)</f>
        <v>532</v>
      </c>
      <c r="B266">
        <v>38801367</v>
      </c>
      <c r="C266">
        <v>38801347</v>
      </c>
      <c r="D266">
        <v>38466765</v>
      </c>
      <c r="E266">
        <v>1</v>
      </c>
      <c r="F266">
        <v>1</v>
      </c>
      <c r="G266">
        <v>27</v>
      </c>
      <c r="H266">
        <v>3</v>
      </c>
      <c r="I266" t="s">
        <v>544</v>
      </c>
      <c r="J266" t="s">
        <v>545</v>
      </c>
      <c r="K266" t="s">
        <v>546</v>
      </c>
      <c r="L266">
        <v>1301</v>
      </c>
      <c r="N266">
        <v>1003</v>
      </c>
      <c r="O266" t="s">
        <v>121</v>
      </c>
      <c r="P266" t="s">
        <v>121</v>
      </c>
      <c r="Q266">
        <v>1</v>
      </c>
      <c r="X266">
        <v>43.73</v>
      </c>
      <c r="Y266">
        <v>32.99</v>
      </c>
      <c r="Z266">
        <v>0</v>
      </c>
      <c r="AA266">
        <v>0</v>
      </c>
      <c r="AB266">
        <v>0</v>
      </c>
      <c r="AC266">
        <v>0</v>
      </c>
      <c r="AD266">
        <v>1</v>
      </c>
      <c r="AE266">
        <v>0</v>
      </c>
      <c r="AF266" t="s">
        <v>3</v>
      </c>
      <c r="AG266">
        <v>43.73</v>
      </c>
      <c r="AH266">
        <v>2</v>
      </c>
      <c r="AI266">
        <v>38801353</v>
      </c>
      <c r="AJ266">
        <v>297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</row>
    <row r="267" spans="1:44" x14ac:dyDescent="0.2">
      <c r="A267">
        <f>ROW(Source!A532)</f>
        <v>532</v>
      </c>
      <c r="B267">
        <v>38801368</v>
      </c>
      <c r="C267">
        <v>38801347</v>
      </c>
      <c r="D267">
        <v>38467855</v>
      </c>
      <c r="E267">
        <v>1</v>
      </c>
      <c r="F267">
        <v>1</v>
      </c>
      <c r="G267">
        <v>27</v>
      </c>
      <c r="H267">
        <v>3</v>
      </c>
      <c r="I267" t="s">
        <v>616</v>
      </c>
      <c r="J267" t="s">
        <v>617</v>
      </c>
      <c r="K267" t="s">
        <v>618</v>
      </c>
      <c r="L267">
        <v>1327</v>
      </c>
      <c r="N267">
        <v>1005</v>
      </c>
      <c r="O267" t="s">
        <v>289</v>
      </c>
      <c r="P267" t="s">
        <v>289</v>
      </c>
      <c r="Q267">
        <v>1</v>
      </c>
      <c r="X267">
        <v>101.5</v>
      </c>
      <c r="Y267">
        <v>463.15</v>
      </c>
      <c r="Z267">
        <v>0</v>
      </c>
      <c r="AA267">
        <v>0</v>
      </c>
      <c r="AB267">
        <v>0</v>
      </c>
      <c r="AC267">
        <v>0</v>
      </c>
      <c r="AD267">
        <v>1</v>
      </c>
      <c r="AE267">
        <v>0</v>
      </c>
      <c r="AF267" t="s">
        <v>3</v>
      </c>
      <c r="AG267">
        <v>101.5</v>
      </c>
      <c r="AH267">
        <v>2</v>
      </c>
      <c r="AI267">
        <v>38801354</v>
      </c>
      <c r="AJ267">
        <v>298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</row>
    <row r="268" spans="1:44" x14ac:dyDescent="0.2">
      <c r="A268">
        <f>ROW(Source!A532)</f>
        <v>532</v>
      </c>
      <c r="B268">
        <v>38801369</v>
      </c>
      <c r="C268">
        <v>38801347</v>
      </c>
      <c r="D268">
        <v>38467860</v>
      </c>
      <c r="E268">
        <v>1</v>
      </c>
      <c r="F268">
        <v>1</v>
      </c>
      <c r="G268">
        <v>27</v>
      </c>
      <c r="H268">
        <v>3</v>
      </c>
      <c r="I268" t="s">
        <v>619</v>
      </c>
      <c r="J268" t="s">
        <v>620</v>
      </c>
      <c r="K268" t="s">
        <v>621</v>
      </c>
      <c r="L268">
        <v>1301</v>
      </c>
      <c r="N268">
        <v>1003</v>
      </c>
      <c r="O268" t="s">
        <v>121</v>
      </c>
      <c r="P268" t="s">
        <v>121</v>
      </c>
      <c r="Q268">
        <v>1</v>
      </c>
      <c r="X268">
        <v>87.47</v>
      </c>
      <c r="Y268">
        <v>32.47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 t="s">
        <v>3</v>
      </c>
      <c r="AG268">
        <v>87.47</v>
      </c>
      <c r="AH268">
        <v>2</v>
      </c>
      <c r="AI268">
        <v>38801355</v>
      </c>
      <c r="AJ268">
        <v>299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</row>
    <row r="269" spans="1:44" x14ac:dyDescent="0.2">
      <c r="A269">
        <f>ROW(Source!A532)</f>
        <v>532</v>
      </c>
      <c r="B269">
        <v>38801370</v>
      </c>
      <c r="C269">
        <v>38801347</v>
      </c>
      <c r="D269">
        <v>38467560</v>
      </c>
      <c r="E269">
        <v>1</v>
      </c>
      <c r="F269">
        <v>1</v>
      </c>
      <c r="G269">
        <v>27</v>
      </c>
      <c r="H269">
        <v>3</v>
      </c>
      <c r="I269" t="s">
        <v>553</v>
      </c>
      <c r="J269" t="s">
        <v>554</v>
      </c>
      <c r="K269" t="s">
        <v>555</v>
      </c>
      <c r="L269">
        <v>1355</v>
      </c>
      <c r="N269">
        <v>1010</v>
      </c>
      <c r="O269" t="s">
        <v>556</v>
      </c>
      <c r="P269" t="s">
        <v>556</v>
      </c>
      <c r="Q269">
        <v>100</v>
      </c>
      <c r="X269">
        <v>0.91</v>
      </c>
      <c r="Y269">
        <v>851.18</v>
      </c>
      <c r="Z269">
        <v>0</v>
      </c>
      <c r="AA269">
        <v>0</v>
      </c>
      <c r="AB269">
        <v>0</v>
      </c>
      <c r="AC269">
        <v>0</v>
      </c>
      <c r="AD269">
        <v>1</v>
      </c>
      <c r="AE269">
        <v>0</v>
      </c>
      <c r="AF269" t="s">
        <v>3</v>
      </c>
      <c r="AG269">
        <v>0.91</v>
      </c>
      <c r="AH269">
        <v>2</v>
      </c>
      <c r="AI269">
        <v>38801356</v>
      </c>
      <c r="AJ269">
        <v>300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</row>
    <row r="270" spans="1:44" x14ac:dyDescent="0.2">
      <c r="A270">
        <f>ROW(Source!A532)</f>
        <v>532</v>
      </c>
      <c r="B270">
        <v>38801371</v>
      </c>
      <c r="C270">
        <v>38801347</v>
      </c>
      <c r="D270">
        <v>38467563</v>
      </c>
      <c r="E270">
        <v>1</v>
      </c>
      <c r="F270">
        <v>1</v>
      </c>
      <c r="G270">
        <v>27</v>
      </c>
      <c r="H270">
        <v>3</v>
      </c>
      <c r="I270" t="s">
        <v>557</v>
      </c>
      <c r="J270" t="s">
        <v>558</v>
      </c>
      <c r="K270" t="s">
        <v>559</v>
      </c>
      <c r="L270">
        <v>1301</v>
      </c>
      <c r="N270">
        <v>1003</v>
      </c>
      <c r="O270" t="s">
        <v>121</v>
      </c>
      <c r="P270" t="s">
        <v>121</v>
      </c>
      <c r="Q270">
        <v>1</v>
      </c>
      <c r="X270">
        <v>48.11</v>
      </c>
      <c r="Y270">
        <v>37.46</v>
      </c>
      <c r="Z270">
        <v>0</v>
      </c>
      <c r="AA270">
        <v>0</v>
      </c>
      <c r="AB270">
        <v>0</v>
      </c>
      <c r="AC270">
        <v>0</v>
      </c>
      <c r="AD270">
        <v>1</v>
      </c>
      <c r="AE270">
        <v>0</v>
      </c>
      <c r="AF270" t="s">
        <v>3</v>
      </c>
      <c r="AG270">
        <v>48.11</v>
      </c>
      <c r="AH270">
        <v>2</v>
      </c>
      <c r="AI270">
        <v>38801357</v>
      </c>
      <c r="AJ270">
        <v>301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</row>
    <row r="271" spans="1:44" x14ac:dyDescent="0.2">
      <c r="A271">
        <f>ROW(Source!A532)</f>
        <v>532</v>
      </c>
      <c r="B271">
        <v>38801372</v>
      </c>
      <c r="C271">
        <v>38801347</v>
      </c>
      <c r="D271">
        <v>38467564</v>
      </c>
      <c r="E271">
        <v>1</v>
      </c>
      <c r="F271">
        <v>1</v>
      </c>
      <c r="G271">
        <v>27</v>
      </c>
      <c r="H271">
        <v>3</v>
      </c>
      <c r="I271" t="s">
        <v>560</v>
      </c>
      <c r="J271" t="s">
        <v>561</v>
      </c>
      <c r="K271" t="s">
        <v>562</v>
      </c>
      <c r="L271">
        <v>1301</v>
      </c>
      <c r="N271">
        <v>1003</v>
      </c>
      <c r="O271" t="s">
        <v>121</v>
      </c>
      <c r="P271" t="s">
        <v>121</v>
      </c>
      <c r="Q271">
        <v>1</v>
      </c>
      <c r="X271">
        <v>48.11</v>
      </c>
      <c r="Y271">
        <v>153.38999999999999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  <c r="AF271" t="s">
        <v>3</v>
      </c>
      <c r="AG271">
        <v>48.11</v>
      </c>
      <c r="AH271">
        <v>2</v>
      </c>
      <c r="AI271">
        <v>38801358</v>
      </c>
      <c r="AJ271">
        <v>302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</row>
    <row r="272" spans="1:44" x14ac:dyDescent="0.2">
      <c r="A272">
        <f>ROW(Source!A532)</f>
        <v>532</v>
      </c>
      <c r="B272">
        <v>38801373</v>
      </c>
      <c r="C272">
        <v>38801347</v>
      </c>
      <c r="D272">
        <v>38469190</v>
      </c>
      <c r="E272">
        <v>1</v>
      </c>
      <c r="F272">
        <v>1</v>
      </c>
      <c r="G272">
        <v>27</v>
      </c>
      <c r="H272">
        <v>3</v>
      </c>
      <c r="I272" t="s">
        <v>563</v>
      </c>
      <c r="J272" t="s">
        <v>564</v>
      </c>
      <c r="K272" t="s">
        <v>565</v>
      </c>
      <c r="L272">
        <v>1355</v>
      </c>
      <c r="N272">
        <v>1010</v>
      </c>
      <c r="O272" t="s">
        <v>556</v>
      </c>
      <c r="P272" t="s">
        <v>556</v>
      </c>
      <c r="Q272">
        <v>100</v>
      </c>
      <c r="X272">
        <v>5.46</v>
      </c>
      <c r="Y272">
        <v>241.19</v>
      </c>
      <c r="Z272">
        <v>0</v>
      </c>
      <c r="AA272">
        <v>0</v>
      </c>
      <c r="AB272">
        <v>0</v>
      </c>
      <c r="AC272">
        <v>0</v>
      </c>
      <c r="AD272">
        <v>1</v>
      </c>
      <c r="AE272">
        <v>0</v>
      </c>
      <c r="AF272" t="s">
        <v>3</v>
      </c>
      <c r="AG272">
        <v>5.46</v>
      </c>
      <c r="AH272">
        <v>2</v>
      </c>
      <c r="AI272">
        <v>38801359</v>
      </c>
      <c r="AJ272">
        <v>303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</row>
    <row r="273" spans="1:44" x14ac:dyDescent="0.2">
      <c r="A273">
        <f>ROW(Source!A532)</f>
        <v>532</v>
      </c>
      <c r="B273">
        <v>38801374</v>
      </c>
      <c r="C273">
        <v>38801347</v>
      </c>
      <c r="D273">
        <v>38469837</v>
      </c>
      <c r="E273">
        <v>1</v>
      </c>
      <c r="F273">
        <v>1</v>
      </c>
      <c r="G273">
        <v>27</v>
      </c>
      <c r="H273">
        <v>3</v>
      </c>
      <c r="I273" t="s">
        <v>566</v>
      </c>
      <c r="J273" t="s">
        <v>567</v>
      </c>
      <c r="K273" t="s">
        <v>568</v>
      </c>
      <c r="L273">
        <v>1301</v>
      </c>
      <c r="N273">
        <v>1003</v>
      </c>
      <c r="O273" t="s">
        <v>121</v>
      </c>
      <c r="P273" t="s">
        <v>121</v>
      </c>
      <c r="Q273">
        <v>1</v>
      </c>
      <c r="X273">
        <v>48.11</v>
      </c>
      <c r="Y273">
        <v>69.680000000000007</v>
      </c>
      <c r="Z273">
        <v>0</v>
      </c>
      <c r="AA273">
        <v>0</v>
      </c>
      <c r="AB273">
        <v>0</v>
      </c>
      <c r="AC273">
        <v>0</v>
      </c>
      <c r="AD273">
        <v>1</v>
      </c>
      <c r="AE273">
        <v>0</v>
      </c>
      <c r="AF273" t="s">
        <v>3</v>
      </c>
      <c r="AG273">
        <v>48.11</v>
      </c>
      <c r="AH273">
        <v>2</v>
      </c>
      <c r="AI273">
        <v>38801360</v>
      </c>
      <c r="AJ273">
        <v>304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</row>
    <row r="274" spans="1:44" x14ac:dyDescent="0.2">
      <c r="A274">
        <f>ROW(Source!A532)</f>
        <v>532</v>
      </c>
      <c r="B274">
        <v>38801375</v>
      </c>
      <c r="C274">
        <v>38801347</v>
      </c>
      <c r="D274">
        <v>38469838</v>
      </c>
      <c r="E274">
        <v>1</v>
      </c>
      <c r="F274">
        <v>1</v>
      </c>
      <c r="G274">
        <v>27</v>
      </c>
      <c r="H274">
        <v>3</v>
      </c>
      <c r="I274" t="s">
        <v>569</v>
      </c>
      <c r="J274" t="s">
        <v>570</v>
      </c>
      <c r="K274" t="s">
        <v>571</v>
      </c>
      <c r="L274">
        <v>1301</v>
      </c>
      <c r="N274">
        <v>1003</v>
      </c>
      <c r="O274" t="s">
        <v>121</v>
      </c>
      <c r="P274" t="s">
        <v>121</v>
      </c>
      <c r="Q274">
        <v>1</v>
      </c>
      <c r="X274">
        <v>48.11</v>
      </c>
      <c r="Y274">
        <v>149.85</v>
      </c>
      <c r="Z274">
        <v>0</v>
      </c>
      <c r="AA274">
        <v>0</v>
      </c>
      <c r="AB274">
        <v>0</v>
      </c>
      <c r="AC274">
        <v>0</v>
      </c>
      <c r="AD274">
        <v>1</v>
      </c>
      <c r="AE274">
        <v>0</v>
      </c>
      <c r="AF274" t="s">
        <v>3</v>
      </c>
      <c r="AG274">
        <v>48.11</v>
      </c>
      <c r="AH274">
        <v>2</v>
      </c>
      <c r="AI274">
        <v>38801361</v>
      </c>
      <c r="AJ274">
        <v>305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</row>
    <row r="275" spans="1:44" x14ac:dyDescent="0.2">
      <c r="A275">
        <f>ROW(Source!A533)</f>
        <v>533</v>
      </c>
      <c r="B275">
        <v>38801387</v>
      </c>
      <c r="C275">
        <v>38801386</v>
      </c>
      <c r="D275">
        <v>38451941</v>
      </c>
      <c r="E275">
        <v>27</v>
      </c>
      <c r="F275">
        <v>1</v>
      </c>
      <c r="G275">
        <v>27</v>
      </c>
      <c r="H275">
        <v>1</v>
      </c>
      <c r="I275" t="s">
        <v>387</v>
      </c>
      <c r="J275" t="s">
        <v>3</v>
      </c>
      <c r="K275" t="s">
        <v>388</v>
      </c>
      <c r="L275">
        <v>1191</v>
      </c>
      <c r="N275">
        <v>1013</v>
      </c>
      <c r="O275" t="s">
        <v>389</v>
      </c>
      <c r="P275" t="s">
        <v>389</v>
      </c>
      <c r="Q275">
        <v>1</v>
      </c>
      <c r="X275">
        <v>1.1499999999999999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1</v>
      </c>
      <c r="AE275">
        <v>1</v>
      </c>
      <c r="AF275" t="s">
        <v>3</v>
      </c>
      <c r="AG275">
        <v>1.1499999999999999</v>
      </c>
      <c r="AH275">
        <v>2</v>
      </c>
      <c r="AI275">
        <v>38801387</v>
      </c>
      <c r="AJ275">
        <v>306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</row>
    <row r="276" spans="1:44" x14ac:dyDescent="0.2">
      <c r="A276">
        <f>ROW(Source!A534)</f>
        <v>534</v>
      </c>
      <c r="B276">
        <v>38801390</v>
      </c>
      <c r="C276">
        <v>38801388</v>
      </c>
      <c r="D276">
        <v>38451941</v>
      </c>
      <c r="E276">
        <v>27</v>
      </c>
      <c r="F276">
        <v>1</v>
      </c>
      <c r="G276">
        <v>27</v>
      </c>
      <c r="H276">
        <v>1</v>
      </c>
      <c r="I276" t="s">
        <v>387</v>
      </c>
      <c r="J276" t="s">
        <v>3</v>
      </c>
      <c r="K276" t="s">
        <v>388</v>
      </c>
      <c r="L276">
        <v>1191</v>
      </c>
      <c r="N276">
        <v>1013</v>
      </c>
      <c r="O276" t="s">
        <v>389</v>
      </c>
      <c r="P276" t="s">
        <v>389</v>
      </c>
      <c r="Q276">
        <v>1</v>
      </c>
      <c r="X276">
        <v>1.28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</v>
      </c>
      <c r="AE276">
        <v>1</v>
      </c>
      <c r="AF276" t="s">
        <v>3</v>
      </c>
      <c r="AG276">
        <v>1.28</v>
      </c>
      <c r="AH276">
        <v>2</v>
      </c>
      <c r="AI276">
        <v>38801390</v>
      </c>
      <c r="AJ276">
        <v>307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</row>
    <row r="277" spans="1:44" x14ac:dyDescent="0.2">
      <c r="A277">
        <f>ROW(Source!A534)</f>
        <v>534</v>
      </c>
      <c r="B277">
        <v>38801391</v>
      </c>
      <c r="C277">
        <v>38801388</v>
      </c>
      <c r="D277">
        <v>38464664</v>
      </c>
      <c r="E277">
        <v>1</v>
      </c>
      <c r="F277">
        <v>1</v>
      </c>
      <c r="G277">
        <v>27</v>
      </c>
      <c r="H277">
        <v>2</v>
      </c>
      <c r="I277" t="s">
        <v>493</v>
      </c>
      <c r="J277" t="s">
        <v>494</v>
      </c>
      <c r="K277" t="s">
        <v>495</v>
      </c>
      <c r="L277">
        <v>1368</v>
      </c>
      <c r="N277">
        <v>1011</v>
      </c>
      <c r="O277" t="s">
        <v>393</v>
      </c>
      <c r="P277" t="s">
        <v>393</v>
      </c>
      <c r="Q277">
        <v>1</v>
      </c>
      <c r="X277">
        <v>0.32</v>
      </c>
      <c r="Y277">
        <v>0</v>
      </c>
      <c r="Z277">
        <v>27.21</v>
      </c>
      <c r="AA277">
        <v>0.13</v>
      </c>
      <c r="AB277">
        <v>0</v>
      </c>
      <c r="AC277">
        <v>0</v>
      </c>
      <c r="AD277">
        <v>1</v>
      </c>
      <c r="AE277">
        <v>0</v>
      </c>
      <c r="AF277" t="s">
        <v>3</v>
      </c>
      <c r="AG277">
        <v>0.32</v>
      </c>
      <c r="AH277">
        <v>2</v>
      </c>
      <c r="AI277">
        <v>38801391</v>
      </c>
      <c r="AJ277">
        <v>308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</row>
    <row r="278" spans="1:44" x14ac:dyDescent="0.2">
      <c r="A278">
        <f>ROW(Source!A534)</f>
        <v>534</v>
      </c>
      <c r="B278">
        <v>38801392</v>
      </c>
      <c r="C278">
        <v>38801388</v>
      </c>
      <c r="D278">
        <v>38465122</v>
      </c>
      <c r="E278">
        <v>1</v>
      </c>
      <c r="F278">
        <v>1</v>
      </c>
      <c r="G278">
        <v>27</v>
      </c>
      <c r="H278">
        <v>2</v>
      </c>
      <c r="I278" t="s">
        <v>456</v>
      </c>
      <c r="J278" t="s">
        <v>457</v>
      </c>
      <c r="K278" t="s">
        <v>458</v>
      </c>
      <c r="L278">
        <v>1368</v>
      </c>
      <c r="N278">
        <v>1011</v>
      </c>
      <c r="O278" t="s">
        <v>393</v>
      </c>
      <c r="P278" t="s">
        <v>393</v>
      </c>
      <c r="Q278">
        <v>1</v>
      </c>
      <c r="X278">
        <v>0.14000000000000001</v>
      </c>
      <c r="Y278">
        <v>0</v>
      </c>
      <c r="Z278">
        <v>7.44</v>
      </c>
      <c r="AA278">
        <v>0.98</v>
      </c>
      <c r="AB278">
        <v>0</v>
      </c>
      <c r="AC278">
        <v>0</v>
      </c>
      <c r="AD278">
        <v>1</v>
      </c>
      <c r="AE278">
        <v>0</v>
      </c>
      <c r="AF278" t="s">
        <v>3</v>
      </c>
      <c r="AG278">
        <v>0.14000000000000001</v>
      </c>
      <c r="AH278">
        <v>2</v>
      </c>
      <c r="AI278">
        <v>38801392</v>
      </c>
      <c r="AJ278">
        <v>309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</row>
    <row r="279" spans="1:44" x14ac:dyDescent="0.2">
      <c r="A279">
        <f>ROW(Source!A534)</f>
        <v>534</v>
      </c>
      <c r="B279">
        <v>38801393</v>
      </c>
      <c r="C279">
        <v>38801388</v>
      </c>
      <c r="D279">
        <v>38465050</v>
      </c>
      <c r="E279">
        <v>1</v>
      </c>
      <c r="F279">
        <v>1</v>
      </c>
      <c r="G279">
        <v>27</v>
      </c>
      <c r="H279">
        <v>2</v>
      </c>
      <c r="I279" t="s">
        <v>502</v>
      </c>
      <c r="J279" t="s">
        <v>503</v>
      </c>
      <c r="K279" t="s">
        <v>504</v>
      </c>
      <c r="L279">
        <v>1368</v>
      </c>
      <c r="N279">
        <v>1011</v>
      </c>
      <c r="O279" t="s">
        <v>393</v>
      </c>
      <c r="P279" t="s">
        <v>393</v>
      </c>
      <c r="Q279">
        <v>1</v>
      </c>
      <c r="X279">
        <v>0.02</v>
      </c>
      <c r="Y279">
        <v>0</v>
      </c>
      <c r="Z279">
        <v>5.94</v>
      </c>
      <c r="AA279">
        <v>0.02</v>
      </c>
      <c r="AB279">
        <v>0</v>
      </c>
      <c r="AC279">
        <v>0</v>
      </c>
      <c r="AD279">
        <v>1</v>
      </c>
      <c r="AE279">
        <v>0</v>
      </c>
      <c r="AF279" t="s">
        <v>3</v>
      </c>
      <c r="AG279">
        <v>0.02</v>
      </c>
      <c r="AH279">
        <v>2</v>
      </c>
      <c r="AI279">
        <v>38801393</v>
      </c>
      <c r="AJ279">
        <v>310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</row>
    <row r="280" spans="1:44" x14ac:dyDescent="0.2">
      <c r="A280">
        <f>ROW(Source!A534)</f>
        <v>534</v>
      </c>
      <c r="B280">
        <v>38801394</v>
      </c>
      <c r="C280">
        <v>38801388</v>
      </c>
      <c r="D280">
        <v>38465084</v>
      </c>
      <c r="E280">
        <v>1</v>
      </c>
      <c r="F280">
        <v>1</v>
      </c>
      <c r="G280">
        <v>27</v>
      </c>
      <c r="H280">
        <v>2</v>
      </c>
      <c r="I280" t="s">
        <v>538</v>
      </c>
      <c r="J280" t="s">
        <v>539</v>
      </c>
      <c r="K280" t="s">
        <v>540</v>
      </c>
      <c r="L280">
        <v>1368</v>
      </c>
      <c r="N280">
        <v>1011</v>
      </c>
      <c r="O280" t="s">
        <v>393</v>
      </c>
      <c r="P280" t="s">
        <v>393</v>
      </c>
      <c r="Q280">
        <v>1</v>
      </c>
      <c r="X280">
        <v>0.19</v>
      </c>
      <c r="Y280">
        <v>0</v>
      </c>
      <c r="Z280">
        <v>5.08</v>
      </c>
      <c r="AA280">
        <v>0.01</v>
      </c>
      <c r="AB280">
        <v>0</v>
      </c>
      <c r="AC280">
        <v>0</v>
      </c>
      <c r="AD280">
        <v>1</v>
      </c>
      <c r="AE280">
        <v>0</v>
      </c>
      <c r="AF280" t="s">
        <v>3</v>
      </c>
      <c r="AG280">
        <v>0.19</v>
      </c>
      <c r="AH280">
        <v>2</v>
      </c>
      <c r="AI280">
        <v>38801394</v>
      </c>
      <c r="AJ280">
        <v>311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</row>
    <row r="281" spans="1:44" x14ac:dyDescent="0.2">
      <c r="A281">
        <f>ROW(Source!A534)</f>
        <v>534</v>
      </c>
      <c r="B281">
        <v>38801395</v>
      </c>
      <c r="C281">
        <v>38801388</v>
      </c>
      <c r="D281">
        <v>38466169</v>
      </c>
      <c r="E281">
        <v>1</v>
      </c>
      <c r="F281">
        <v>1</v>
      </c>
      <c r="G281">
        <v>27</v>
      </c>
      <c r="H281">
        <v>3</v>
      </c>
      <c r="I281" t="s">
        <v>622</v>
      </c>
      <c r="J281" t="s">
        <v>623</v>
      </c>
      <c r="K281" t="s">
        <v>624</v>
      </c>
      <c r="L281">
        <v>1346</v>
      </c>
      <c r="N281">
        <v>1009</v>
      </c>
      <c r="O281" t="s">
        <v>474</v>
      </c>
      <c r="P281" t="s">
        <v>474</v>
      </c>
      <c r="Q281">
        <v>1</v>
      </c>
      <c r="X281">
        <v>0.02</v>
      </c>
      <c r="Y281">
        <v>148.69999999999999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0</v>
      </c>
      <c r="AF281" t="s">
        <v>3</v>
      </c>
      <c r="AG281">
        <v>0.02</v>
      </c>
      <c r="AH281">
        <v>2</v>
      </c>
      <c r="AI281">
        <v>38801395</v>
      </c>
      <c r="AJ281">
        <v>312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</row>
    <row r="282" spans="1:44" x14ac:dyDescent="0.2">
      <c r="A282">
        <f>ROW(Source!A534)</f>
        <v>534</v>
      </c>
      <c r="B282">
        <v>38801396</v>
      </c>
      <c r="C282">
        <v>38801388</v>
      </c>
      <c r="D282">
        <v>38469956</v>
      </c>
      <c r="E282">
        <v>1</v>
      </c>
      <c r="F282">
        <v>1</v>
      </c>
      <c r="G282">
        <v>27</v>
      </c>
      <c r="H282">
        <v>3</v>
      </c>
      <c r="I282" t="s">
        <v>625</v>
      </c>
      <c r="J282" t="s">
        <v>626</v>
      </c>
      <c r="K282" t="s">
        <v>627</v>
      </c>
      <c r="L282">
        <v>1354</v>
      </c>
      <c r="N282">
        <v>1010</v>
      </c>
      <c r="O282" t="s">
        <v>198</v>
      </c>
      <c r="P282" t="s">
        <v>198</v>
      </c>
      <c r="Q282">
        <v>1</v>
      </c>
      <c r="X282">
        <v>1</v>
      </c>
      <c r="Y282">
        <v>10238.299999999999</v>
      </c>
      <c r="Z282">
        <v>0</v>
      </c>
      <c r="AA282">
        <v>0</v>
      </c>
      <c r="AB282">
        <v>0</v>
      </c>
      <c r="AC282">
        <v>0</v>
      </c>
      <c r="AD282">
        <v>1</v>
      </c>
      <c r="AE282">
        <v>0</v>
      </c>
      <c r="AF282" t="s">
        <v>3</v>
      </c>
      <c r="AG282">
        <v>1</v>
      </c>
      <c r="AH282">
        <v>2</v>
      </c>
      <c r="AI282">
        <v>38801396</v>
      </c>
      <c r="AJ282">
        <v>313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</row>
    <row r="283" spans="1:44" x14ac:dyDescent="0.2">
      <c r="A283">
        <f>ROW(Source!A535)</f>
        <v>535</v>
      </c>
      <c r="B283">
        <v>38801397</v>
      </c>
      <c r="C283">
        <v>38801389</v>
      </c>
      <c r="D283">
        <v>38451941</v>
      </c>
      <c r="E283">
        <v>27</v>
      </c>
      <c r="F283">
        <v>1</v>
      </c>
      <c r="G283">
        <v>27</v>
      </c>
      <c r="H283">
        <v>1</v>
      </c>
      <c r="I283" t="s">
        <v>387</v>
      </c>
      <c r="J283" t="s">
        <v>3</v>
      </c>
      <c r="K283" t="s">
        <v>388</v>
      </c>
      <c r="L283">
        <v>1191</v>
      </c>
      <c r="N283">
        <v>1013</v>
      </c>
      <c r="O283" t="s">
        <v>389</v>
      </c>
      <c r="P283" t="s">
        <v>389</v>
      </c>
      <c r="Q283">
        <v>1</v>
      </c>
      <c r="X283">
        <v>1.18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1</v>
      </c>
      <c r="AE283">
        <v>1</v>
      </c>
      <c r="AF283" t="s">
        <v>3</v>
      </c>
      <c r="AG283">
        <v>1.18</v>
      </c>
      <c r="AH283">
        <v>2</v>
      </c>
      <c r="AI283">
        <v>38801397</v>
      </c>
      <c r="AJ283">
        <v>314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</row>
    <row r="284" spans="1:44" x14ac:dyDescent="0.2">
      <c r="A284">
        <f>ROW(Source!A535)</f>
        <v>535</v>
      </c>
      <c r="B284">
        <v>38801398</v>
      </c>
      <c r="C284">
        <v>38801389</v>
      </c>
      <c r="D284">
        <v>38466161</v>
      </c>
      <c r="E284">
        <v>1</v>
      </c>
      <c r="F284">
        <v>1</v>
      </c>
      <c r="G284">
        <v>27</v>
      </c>
      <c r="H284">
        <v>3</v>
      </c>
      <c r="I284" t="s">
        <v>523</v>
      </c>
      <c r="J284" t="s">
        <v>524</v>
      </c>
      <c r="K284" t="s">
        <v>525</v>
      </c>
      <c r="L284">
        <v>1348</v>
      </c>
      <c r="N284">
        <v>1009</v>
      </c>
      <c r="O284" t="s">
        <v>155</v>
      </c>
      <c r="P284" t="s">
        <v>155</v>
      </c>
      <c r="Q284">
        <v>1000</v>
      </c>
      <c r="X284">
        <v>6.0000000000000002E-5</v>
      </c>
      <c r="Y284">
        <v>105084.63</v>
      </c>
      <c r="Z284">
        <v>0</v>
      </c>
      <c r="AA284">
        <v>0</v>
      </c>
      <c r="AB284">
        <v>0</v>
      </c>
      <c r="AC284">
        <v>0</v>
      </c>
      <c r="AD284">
        <v>1</v>
      </c>
      <c r="AE284">
        <v>0</v>
      </c>
      <c r="AF284" t="s">
        <v>3</v>
      </c>
      <c r="AG284">
        <v>6.0000000000000002E-5</v>
      </c>
      <c r="AH284">
        <v>2</v>
      </c>
      <c r="AI284">
        <v>38801398</v>
      </c>
      <c r="AJ284">
        <v>315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</row>
    <row r="285" spans="1:44" x14ac:dyDescent="0.2">
      <c r="A285">
        <f>ROW(Source!A535)</f>
        <v>535</v>
      </c>
      <c r="B285">
        <v>38801399</v>
      </c>
      <c r="C285">
        <v>38801389</v>
      </c>
      <c r="D285">
        <v>38473896</v>
      </c>
      <c r="E285">
        <v>1</v>
      </c>
      <c r="F285">
        <v>1</v>
      </c>
      <c r="G285">
        <v>27</v>
      </c>
      <c r="H285">
        <v>3</v>
      </c>
      <c r="I285" t="s">
        <v>628</v>
      </c>
      <c r="J285" t="s">
        <v>629</v>
      </c>
      <c r="K285" t="s">
        <v>630</v>
      </c>
      <c r="L285">
        <v>1356</v>
      </c>
      <c r="N285">
        <v>1010</v>
      </c>
      <c r="O285" t="s">
        <v>631</v>
      </c>
      <c r="P285" t="s">
        <v>631</v>
      </c>
      <c r="Q285">
        <v>1000</v>
      </c>
      <c r="X285">
        <v>6.0000000000000001E-3</v>
      </c>
      <c r="Y285">
        <v>450.82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0</v>
      </c>
      <c r="AF285" t="s">
        <v>3</v>
      </c>
      <c r="AG285">
        <v>6.0000000000000001E-3</v>
      </c>
      <c r="AH285">
        <v>2</v>
      </c>
      <c r="AI285">
        <v>38801399</v>
      </c>
      <c r="AJ285">
        <v>316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</row>
    <row r="286" spans="1:44" x14ac:dyDescent="0.2">
      <c r="A286">
        <f>ROW(Source!A606)</f>
        <v>606</v>
      </c>
      <c r="B286">
        <v>38801582</v>
      </c>
      <c r="C286">
        <v>38801581</v>
      </c>
      <c r="D286">
        <v>38451941</v>
      </c>
      <c r="E286">
        <v>27</v>
      </c>
      <c r="F286">
        <v>1</v>
      </c>
      <c r="G286">
        <v>27</v>
      </c>
      <c r="H286">
        <v>1</v>
      </c>
      <c r="I286" t="s">
        <v>387</v>
      </c>
      <c r="J286" t="s">
        <v>3</v>
      </c>
      <c r="K286" t="s">
        <v>388</v>
      </c>
      <c r="L286">
        <v>1191</v>
      </c>
      <c r="N286">
        <v>1013</v>
      </c>
      <c r="O286" t="s">
        <v>389</v>
      </c>
      <c r="P286" t="s">
        <v>389</v>
      </c>
      <c r="Q286">
        <v>1</v>
      </c>
      <c r="X286">
        <v>0.66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1</v>
      </c>
      <c r="AE286">
        <v>1</v>
      </c>
      <c r="AF286" t="s">
        <v>3</v>
      </c>
      <c r="AG286">
        <v>0.66</v>
      </c>
      <c r="AH286">
        <v>2</v>
      </c>
      <c r="AI286">
        <v>38801582</v>
      </c>
      <c r="AJ286">
        <v>317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</row>
    <row r="287" spans="1:44" x14ac:dyDescent="0.2">
      <c r="A287">
        <f>ROW(Source!A606)</f>
        <v>606</v>
      </c>
      <c r="B287">
        <v>38801583</v>
      </c>
      <c r="C287">
        <v>38801581</v>
      </c>
      <c r="D287">
        <v>38464566</v>
      </c>
      <c r="E287">
        <v>1</v>
      </c>
      <c r="F287">
        <v>1</v>
      </c>
      <c r="G287">
        <v>27</v>
      </c>
      <c r="H287">
        <v>2</v>
      </c>
      <c r="I287" t="s">
        <v>582</v>
      </c>
      <c r="J287" t="s">
        <v>632</v>
      </c>
      <c r="K287" t="s">
        <v>584</v>
      </c>
      <c r="L287">
        <v>1368</v>
      </c>
      <c r="N287">
        <v>1011</v>
      </c>
      <c r="O287" t="s">
        <v>393</v>
      </c>
      <c r="P287" t="s">
        <v>393</v>
      </c>
      <c r="Q287">
        <v>1</v>
      </c>
      <c r="X287">
        <v>0.13200000000000001</v>
      </c>
      <c r="Y287">
        <v>0</v>
      </c>
      <c r="Z287">
        <v>470.71</v>
      </c>
      <c r="AA287">
        <v>359.8</v>
      </c>
      <c r="AB287">
        <v>0</v>
      </c>
      <c r="AC287">
        <v>0</v>
      </c>
      <c r="AD287">
        <v>1</v>
      </c>
      <c r="AE287">
        <v>0</v>
      </c>
      <c r="AF287" t="s">
        <v>3</v>
      </c>
      <c r="AG287">
        <v>0.13200000000000001</v>
      </c>
      <c r="AH287">
        <v>2</v>
      </c>
      <c r="AI287">
        <v>38801583</v>
      </c>
      <c r="AJ287">
        <v>318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</row>
    <row r="288" spans="1:44" x14ac:dyDescent="0.2">
      <c r="A288">
        <f>ROW(Source!A606)</f>
        <v>606</v>
      </c>
      <c r="B288">
        <v>38801584</v>
      </c>
      <c r="C288">
        <v>38801581</v>
      </c>
      <c r="D288">
        <v>38465020</v>
      </c>
      <c r="E288">
        <v>1</v>
      </c>
      <c r="F288">
        <v>1</v>
      </c>
      <c r="G288">
        <v>27</v>
      </c>
      <c r="H288">
        <v>2</v>
      </c>
      <c r="I288" t="s">
        <v>633</v>
      </c>
      <c r="J288" t="s">
        <v>634</v>
      </c>
      <c r="K288" t="s">
        <v>635</v>
      </c>
      <c r="L288">
        <v>1368</v>
      </c>
      <c r="N288">
        <v>1011</v>
      </c>
      <c r="O288" t="s">
        <v>393</v>
      </c>
      <c r="P288" t="s">
        <v>393</v>
      </c>
      <c r="Q288">
        <v>1</v>
      </c>
      <c r="X288">
        <v>0.05</v>
      </c>
      <c r="Y288">
        <v>0</v>
      </c>
      <c r="Z288">
        <v>1090.94</v>
      </c>
      <c r="AA288">
        <v>389.28</v>
      </c>
      <c r="AB288">
        <v>0</v>
      </c>
      <c r="AC288">
        <v>0</v>
      </c>
      <c r="AD288">
        <v>1</v>
      </c>
      <c r="AE288">
        <v>0</v>
      </c>
      <c r="AF288" t="s">
        <v>3</v>
      </c>
      <c r="AG288">
        <v>0.05</v>
      </c>
      <c r="AH288">
        <v>2</v>
      </c>
      <c r="AI288">
        <v>38801584</v>
      </c>
      <c r="AJ288">
        <v>319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</row>
    <row r="289" spans="1:44" x14ac:dyDescent="0.2">
      <c r="A289">
        <f>ROW(Source!A606)</f>
        <v>606</v>
      </c>
      <c r="B289">
        <v>38801585</v>
      </c>
      <c r="C289">
        <v>38801581</v>
      </c>
      <c r="D289">
        <v>38465082</v>
      </c>
      <c r="E289">
        <v>1</v>
      </c>
      <c r="F289">
        <v>1</v>
      </c>
      <c r="G289">
        <v>27</v>
      </c>
      <c r="H289">
        <v>2</v>
      </c>
      <c r="I289" t="s">
        <v>415</v>
      </c>
      <c r="J289" t="s">
        <v>416</v>
      </c>
      <c r="K289" t="s">
        <v>417</v>
      </c>
      <c r="L289">
        <v>1368</v>
      </c>
      <c r="N289">
        <v>1011</v>
      </c>
      <c r="O289" t="s">
        <v>393</v>
      </c>
      <c r="P289" t="s">
        <v>393</v>
      </c>
      <c r="Q289">
        <v>1</v>
      </c>
      <c r="X289">
        <v>0.13200000000000001</v>
      </c>
      <c r="Y289">
        <v>0</v>
      </c>
      <c r="Z289">
        <v>6.02</v>
      </c>
      <c r="AA289">
        <v>0.02</v>
      </c>
      <c r="AB289">
        <v>0</v>
      </c>
      <c r="AC289">
        <v>0</v>
      </c>
      <c r="AD289">
        <v>1</v>
      </c>
      <c r="AE289">
        <v>0</v>
      </c>
      <c r="AF289" t="s">
        <v>3</v>
      </c>
      <c r="AG289">
        <v>0.13200000000000001</v>
      </c>
      <c r="AH289">
        <v>2</v>
      </c>
      <c r="AI289">
        <v>38801585</v>
      </c>
      <c r="AJ289">
        <v>320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</row>
    <row r="290" spans="1:44" x14ac:dyDescent="0.2">
      <c r="A290">
        <f>ROW(Source!A606)</f>
        <v>606</v>
      </c>
      <c r="B290">
        <v>38801586</v>
      </c>
      <c r="C290">
        <v>38801581</v>
      </c>
      <c r="D290">
        <v>38464321</v>
      </c>
      <c r="E290">
        <v>1</v>
      </c>
      <c r="F290">
        <v>1</v>
      </c>
      <c r="G290">
        <v>27</v>
      </c>
      <c r="H290">
        <v>2</v>
      </c>
      <c r="I290" t="s">
        <v>636</v>
      </c>
      <c r="J290" t="s">
        <v>637</v>
      </c>
      <c r="K290" t="s">
        <v>638</v>
      </c>
      <c r="L290">
        <v>1368</v>
      </c>
      <c r="N290">
        <v>1011</v>
      </c>
      <c r="O290" t="s">
        <v>393</v>
      </c>
      <c r="P290" t="s">
        <v>393</v>
      </c>
      <c r="Q290">
        <v>1</v>
      </c>
      <c r="X290">
        <v>8.8999999999999996E-2</v>
      </c>
      <c r="Y290">
        <v>0</v>
      </c>
      <c r="Z290">
        <v>829.85</v>
      </c>
      <c r="AA290">
        <v>457.02</v>
      </c>
      <c r="AB290">
        <v>0</v>
      </c>
      <c r="AC290">
        <v>0</v>
      </c>
      <c r="AD290">
        <v>1</v>
      </c>
      <c r="AE290">
        <v>0</v>
      </c>
      <c r="AF290" t="s">
        <v>3</v>
      </c>
      <c r="AG290">
        <v>8.8999999999999996E-2</v>
      </c>
      <c r="AH290">
        <v>2</v>
      </c>
      <c r="AI290">
        <v>38801586</v>
      </c>
      <c r="AJ290">
        <v>321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</row>
    <row r="291" spans="1:44" x14ac:dyDescent="0.2">
      <c r="A291">
        <f>ROW(Source!A606)</f>
        <v>606</v>
      </c>
      <c r="B291">
        <v>38801587</v>
      </c>
      <c r="C291">
        <v>38801581</v>
      </c>
      <c r="D291">
        <v>38468047</v>
      </c>
      <c r="E291">
        <v>1</v>
      </c>
      <c r="F291">
        <v>1</v>
      </c>
      <c r="G291">
        <v>27</v>
      </c>
      <c r="H291">
        <v>3</v>
      </c>
      <c r="I291" t="s">
        <v>639</v>
      </c>
      <c r="J291" t="s">
        <v>640</v>
      </c>
      <c r="K291" t="s">
        <v>641</v>
      </c>
      <c r="L291">
        <v>1339</v>
      </c>
      <c r="N291">
        <v>1007</v>
      </c>
      <c r="O291" t="s">
        <v>35</v>
      </c>
      <c r="P291" t="s">
        <v>35</v>
      </c>
      <c r="Q291">
        <v>1</v>
      </c>
      <c r="X291">
        <v>5.8999999999999997E-2</v>
      </c>
      <c r="Y291">
        <v>3694.66</v>
      </c>
      <c r="Z291">
        <v>0</v>
      </c>
      <c r="AA291">
        <v>0</v>
      </c>
      <c r="AB291">
        <v>0</v>
      </c>
      <c r="AC291">
        <v>0</v>
      </c>
      <c r="AD291">
        <v>1</v>
      </c>
      <c r="AE291">
        <v>0</v>
      </c>
      <c r="AF291" t="s">
        <v>3</v>
      </c>
      <c r="AG291">
        <v>5.8999999999999997E-2</v>
      </c>
      <c r="AH291">
        <v>2</v>
      </c>
      <c r="AI291">
        <v>38801587</v>
      </c>
      <c r="AJ291">
        <v>322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</row>
    <row r="292" spans="1:44" x14ac:dyDescent="0.2">
      <c r="A292">
        <f>ROW(Source!A606)</f>
        <v>606</v>
      </c>
      <c r="B292">
        <v>38801588</v>
      </c>
      <c r="C292">
        <v>38801581</v>
      </c>
      <c r="D292">
        <v>38468156</v>
      </c>
      <c r="E292">
        <v>1</v>
      </c>
      <c r="F292">
        <v>1</v>
      </c>
      <c r="G292">
        <v>27</v>
      </c>
      <c r="H292">
        <v>3</v>
      </c>
      <c r="I292" t="s">
        <v>642</v>
      </c>
      <c r="J292" t="s">
        <v>643</v>
      </c>
      <c r="K292" t="s">
        <v>644</v>
      </c>
      <c r="L292">
        <v>1339</v>
      </c>
      <c r="N292">
        <v>1007</v>
      </c>
      <c r="O292" t="s">
        <v>35</v>
      </c>
      <c r="P292" t="s">
        <v>35</v>
      </c>
      <c r="Q292">
        <v>1</v>
      </c>
      <c r="X292">
        <v>5.9999999999999995E-4</v>
      </c>
      <c r="Y292">
        <v>3392.59</v>
      </c>
      <c r="Z292">
        <v>0</v>
      </c>
      <c r="AA292">
        <v>0</v>
      </c>
      <c r="AB292">
        <v>0</v>
      </c>
      <c r="AC292">
        <v>0</v>
      </c>
      <c r="AD292">
        <v>1</v>
      </c>
      <c r="AE292">
        <v>0</v>
      </c>
      <c r="AF292" t="s">
        <v>3</v>
      </c>
      <c r="AG292">
        <v>5.9999999999999995E-4</v>
      </c>
      <c r="AH292">
        <v>2</v>
      </c>
      <c r="AI292">
        <v>38801588</v>
      </c>
      <c r="AJ292">
        <v>323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</row>
    <row r="293" spans="1:44" x14ac:dyDescent="0.2">
      <c r="A293">
        <f>ROW(Source!A606)</f>
        <v>606</v>
      </c>
      <c r="B293">
        <v>38801589</v>
      </c>
      <c r="C293">
        <v>38801581</v>
      </c>
      <c r="D293">
        <v>38468894</v>
      </c>
      <c r="E293">
        <v>1</v>
      </c>
      <c r="F293">
        <v>1</v>
      </c>
      <c r="G293">
        <v>27</v>
      </c>
      <c r="H293">
        <v>3</v>
      </c>
      <c r="I293" t="s">
        <v>645</v>
      </c>
      <c r="J293" t="s">
        <v>646</v>
      </c>
      <c r="K293" t="s">
        <v>647</v>
      </c>
      <c r="L293">
        <v>1339</v>
      </c>
      <c r="N293">
        <v>1007</v>
      </c>
      <c r="O293" t="s">
        <v>35</v>
      </c>
      <c r="P293" t="s">
        <v>35</v>
      </c>
      <c r="Q293">
        <v>1</v>
      </c>
      <c r="X293">
        <v>4.36E-2</v>
      </c>
      <c r="Y293">
        <v>7833.01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  <c r="AF293" t="s">
        <v>3</v>
      </c>
      <c r="AG293">
        <v>4.36E-2</v>
      </c>
      <c r="AH293">
        <v>2</v>
      </c>
      <c r="AI293">
        <v>38801589</v>
      </c>
      <c r="AJ293">
        <v>324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</row>
    <row r="294" spans="1:44" x14ac:dyDescent="0.2">
      <c r="A294">
        <f>ROW(Source!A606)</f>
        <v>606</v>
      </c>
      <c r="B294">
        <v>38801590</v>
      </c>
      <c r="C294">
        <v>38801581</v>
      </c>
      <c r="D294">
        <v>38453717</v>
      </c>
      <c r="E294">
        <v>27</v>
      </c>
      <c r="F294">
        <v>1</v>
      </c>
      <c r="G294">
        <v>27</v>
      </c>
      <c r="H294">
        <v>3</v>
      </c>
      <c r="I294" t="s">
        <v>418</v>
      </c>
      <c r="J294" t="s">
        <v>3</v>
      </c>
      <c r="K294" t="s">
        <v>419</v>
      </c>
      <c r="L294">
        <v>1348</v>
      </c>
      <c r="N294">
        <v>1009</v>
      </c>
      <c r="O294" t="s">
        <v>155</v>
      </c>
      <c r="P294" t="s">
        <v>155</v>
      </c>
      <c r="Q294">
        <v>1000</v>
      </c>
      <c r="X294">
        <v>0.246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1</v>
      </c>
      <c r="AE294">
        <v>0</v>
      </c>
      <c r="AF294" t="s">
        <v>3</v>
      </c>
      <c r="AG294">
        <v>0.246</v>
      </c>
      <c r="AH294">
        <v>2</v>
      </c>
      <c r="AI294">
        <v>38801590</v>
      </c>
      <c r="AJ294">
        <v>325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</row>
    <row r="295" spans="1:44" x14ac:dyDescent="0.2">
      <c r="A295">
        <f>ROW(Source!A607)</f>
        <v>607</v>
      </c>
      <c r="B295">
        <v>38801559</v>
      </c>
      <c r="C295">
        <v>38801551</v>
      </c>
      <c r="D295">
        <v>38451941</v>
      </c>
      <c r="E295">
        <v>27</v>
      </c>
      <c r="F295">
        <v>1</v>
      </c>
      <c r="G295">
        <v>27</v>
      </c>
      <c r="H295">
        <v>1</v>
      </c>
      <c r="I295" t="s">
        <v>387</v>
      </c>
      <c r="J295" t="s">
        <v>3</v>
      </c>
      <c r="K295" t="s">
        <v>388</v>
      </c>
      <c r="L295">
        <v>1191</v>
      </c>
      <c r="N295">
        <v>1013</v>
      </c>
      <c r="O295" t="s">
        <v>389</v>
      </c>
      <c r="P295" t="s">
        <v>389</v>
      </c>
      <c r="Q295">
        <v>1</v>
      </c>
      <c r="X295">
        <v>16.440000000000001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1</v>
      </c>
      <c r="AE295">
        <v>1</v>
      </c>
      <c r="AF295" t="s">
        <v>3</v>
      </c>
      <c r="AG295">
        <v>16.440000000000001</v>
      </c>
      <c r="AH295">
        <v>2</v>
      </c>
      <c r="AI295">
        <v>38801552</v>
      </c>
      <c r="AJ295">
        <v>326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</row>
    <row r="296" spans="1:44" x14ac:dyDescent="0.2">
      <c r="A296">
        <f>ROW(Source!A607)</f>
        <v>607</v>
      </c>
      <c r="B296">
        <v>38801560</v>
      </c>
      <c r="C296">
        <v>38801551</v>
      </c>
      <c r="D296">
        <v>38464567</v>
      </c>
      <c r="E296">
        <v>1</v>
      </c>
      <c r="F296">
        <v>1</v>
      </c>
      <c r="G296">
        <v>27</v>
      </c>
      <c r="H296">
        <v>2</v>
      </c>
      <c r="I296" t="s">
        <v>412</v>
      </c>
      <c r="J296" t="s">
        <v>413</v>
      </c>
      <c r="K296" t="s">
        <v>414</v>
      </c>
      <c r="L296">
        <v>1368</v>
      </c>
      <c r="N296">
        <v>1011</v>
      </c>
      <c r="O296" t="s">
        <v>393</v>
      </c>
      <c r="P296" t="s">
        <v>393</v>
      </c>
      <c r="Q296">
        <v>1</v>
      </c>
      <c r="X296">
        <v>0.55000000000000004</v>
      </c>
      <c r="Y296">
        <v>0</v>
      </c>
      <c r="Z296">
        <v>744.2</v>
      </c>
      <c r="AA296">
        <v>423.17</v>
      </c>
      <c r="AB296">
        <v>0</v>
      </c>
      <c r="AC296">
        <v>0</v>
      </c>
      <c r="AD296">
        <v>1</v>
      </c>
      <c r="AE296">
        <v>0</v>
      </c>
      <c r="AF296" t="s">
        <v>3</v>
      </c>
      <c r="AG296">
        <v>0.55000000000000004</v>
      </c>
      <c r="AH296">
        <v>2</v>
      </c>
      <c r="AI296">
        <v>38801553</v>
      </c>
      <c r="AJ296">
        <v>327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</row>
    <row r="297" spans="1:44" x14ac:dyDescent="0.2">
      <c r="A297">
        <f>ROW(Source!A607)</f>
        <v>607</v>
      </c>
      <c r="B297">
        <v>38801561</v>
      </c>
      <c r="C297">
        <v>38801551</v>
      </c>
      <c r="D297">
        <v>38464689</v>
      </c>
      <c r="E297">
        <v>1</v>
      </c>
      <c r="F297">
        <v>1</v>
      </c>
      <c r="G297">
        <v>27</v>
      </c>
      <c r="H297">
        <v>2</v>
      </c>
      <c r="I297" t="s">
        <v>441</v>
      </c>
      <c r="J297" t="s">
        <v>442</v>
      </c>
      <c r="K297" t="s">
        <v>443</v>
      </c>
      <c r="L297">
        <v>1368</v>
      </c>
      <c r="N297">
        <v>1011</v>
      </c>
      <c r="O297" t="s">
        <v>393</v>
      </c>
      <c r="P297" t="s">
        <v>393</v>
      </c>
      <c r="Q297">
        <v>1</v>
      </c>
      <c r="X297">
        <v>0.81</v>
      </c>
      <c r="Y297">
        <v>0</v>
      </c>
      <c r="Z297">
        <v>1977.07</v>
      </c>
      <c r="AA297">
        <v>1200.6500000000001</v>
      </c>
      <c r="AB297">
        <v>0</v>
      </c>
      <c r="AC297">
        <v>0</v>
      </c>
      <c r="AD297">
        <v>1</v>
      </c>
      <c r="AE297">
        <v>0</v>
      </c>
      <c r="AF297" t="s">
        <v>3</v>
      </c>
      <c r="AG297">
        <v>0.81</v>
      </c>
      <c r="AH297">
        <v>2</v>
      </c>
      <c r="AI297">
        <v>38801554</v>
      </c>
      <c r="AJ297">
        <v>328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</row>
    <row r="298" spans="1:44" x14ac:dyDescent="0.2">
      <c r="A298">
        <f>ROW(Source!A607)</f>
        <v>607</v>
      </c>
      <c r="B298">
        <v>38801562</v>
      </c>
      <c r="C298">
        <v>38801551</v>
      </c>
      <c r="D298">
        <v>38465034</v>
      </c>
      <c r="E298">
        <v>1</v>
      </c>
      <c r="F298">
        <v>1</v>
      </c>
      <c r="G298">
        <v>27</v>
      </c>
      <c r="H298">
        <v>2</v>
      </c>
      <c r="I298" t="s">
        <v>420</v>
      </c>
      <c r="J298" t="s">
        <v>421</v>
      </c>
      <c r="K298" t="s">
        <v>422</v>
      </c>
      <c r="L298">
        <v>1368</v>
      </c>
      <c r="N298">
        <v>1011</v>
      </c>
      <c r="O298" t="s">
        <v>393</v>
      </c>
      <c r="P298" t="s">
        <v>393</v>
      </c>
      <c r="Q298">
        <v>1</v>
      </c>
      <c r="X298">
        <v>1.08</v>
      </c>
      <c r="Y298">
        <v>0</v>
      </c>
      <c r="Z298">
        <v>3.75</v>
      </c>
      <c r="AA298">
        <v>2.56</v>
      </c>
      <c r="AB298">
        <v>0</v>
      </c>
      <c r="AC298">
        <v>0</v>
      </c>
      <c r="AD298">
        <v>1</v>
      </c>
      <c r="AE298">
        <v>0</v>
      </c>
      <c r="AF298" t="s">
        <v>3</v>
      </c>
      <c r="AG298">
        <v>1.08</v>
      </c>
      <c r="AH298">
        <v>2</v>
      </c>
      <c r="AI298">
        <v>38801555</v>
      </c>
      <c r="AJ298">
        <v>329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</row>
    <row r="299" spans="1:44" x14ac:dyDescent="0.2">
      <c r="A299">
        <f>ROW(Source!A607)</f>
        <v>607</v>
      </c>
      <c r="B299">
        <v>38801563</v>
      </c>
      <c r="C299">
        <v>38801551</v>
      </c>
      <c r="D299">
        <v>38465228</v>
      </c>
      <c r="E299">
        <v>1</v>
      </c>
      <c r="F299">
        <v>1</v>
      </c>
      <c r="G299">
        <v>27</v>
      </c>
      <c r="H299">
        <v>3</v>
      </c>
      <c r="I299" t="s">
        <v>444</v>
      </c>
      <c r="J299" t="s">
        <v>445</v>
      </c>
      <c r="K299" t="s">
        <v>446</v>
      </c>
      <c r="L299">
        <v>1348</v>
      </c>
      <c r="N299">
        <v>1009</v>
      </c>
      <c r="O299" t="s">
        <v>155</v>
      </c>
      <c r="P299" t="s">
        <v>155</v>
      </c>
      <c r="Q299">
        <v>1000</v>
      </c>
      <c r="X299">
        <v>6.9000000000000006E-2</v>
      </c>
      <c r="Y299">
        <v>36258.75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0</v>
      </c>
      <c r="AF299" t="s">
        <v>3</v>
      </c>
      <c r="AG299">
        <v>6.9000000000000006E-2</v>
      </c>
      <c r="AH299">
        <v>2</v>
      </c>
      <c r="AI299">
        <v>38801556</v>
      </c>
      <c r="AJ299">
        <v>330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</row>
    <row r="300" spans="1:44" x14ac:dyDescent="0.2">
      <c r="A300">
        <f>ROW(Source!A607)</f>
        <v>607</v>
      </c>
      <c r="B300">
        <v>38801564</v>
      </c>
      <c r="C300">
        <v>38801551</v>
      </c>
      <c r="D300">
        <v>38465769</v>
      </c>
      <c r="E300">
        <v>1</v>
      </c>
      <c r="F300">
        <v>1</v>
      </c>
      <c r="G300">
        <v>27</v>
      </c>
      <c r="H300">
        <v>3</v>
      </c>
      <c r="I300" t="s">
        <v>447</v>
      </c>
      <c r="J300" t="s">
        <v>448</v>
      </c>
      <c r="K300" t="s">
        <v>449</v>
      </c>
      <c r="L300">
        <v>1339</v>
      </c>
      <c r="N300">
        <v>1007</v>
      </c>
      <c r="O300" t="s">
        <v>35</v>
      </c>
      <c r="P300" t="s">
        <v>35</v>
      </c>
      <c r="Q300">
        <v>1</v>
      </c>
      <c r="X300">
        <v>0.01</v>
      </c>
      <c r="Y300">
        <v>7064.05</v>
      </c>
      <c r="Z300">
        <v>0</v>
      </c>
      <c r="AA300">
        <v>0</v>
      </c>
      <c r="AB300">
        <v>0</v>
      </c>
      <c r="AC300">
        <v>0</v>
      </c>
      <c r="AD300">
        <v>1</v>
      </c>
      <c r="AE300">
        <v>0</v>
      </c>
      <c r="AF300" t="s">
        <v>3</v>
      </c>
      <c r="AG300">
        <v>0.01</v>
      </c>
      <c r="AH300">
        <v>2</v>
      </c>
      <c r="AI300">
        <v>38801557</v>
      </c>
      <c r="AJ300">
        <v>331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</row>
    <row r="301" spans="1:44" x14ac:dyDescent="0.2">
      <c r="A301">
        <f>ROW(Source!A607)</f>
        <v>607</v>
      </c>
      <c r="B301">
        <v>38801565</v>
      </c>
      <c r="C301">
        <v>38801551</v>
      </c>
      <c r="D301">
        <v>38468294</v>
      </c>
      <c r="E301">
        <v>1</v>
      </c>
      <c r="F301">
        <v>1</v>
      </c>
      <c r="G301">
        <v>27</v>
      </c>
      <c r="H301">
        <v>3</v>
      </c>
      <c r="I301" t="s">
        <v>450</v>
      </c>
      <c r="J301" t="s">
        <v>451</v>
      </c>
      <c r="K301" t="s">
        <v>452</v>
      </c>
      <c r="L301">
        <v>1348</v>
      </c>
      <c r="N301">
        <v>1009</v>
      </c>
      <c r="O301" t="s">
        <v>155</v>
      </c>
      <c r="P301" t="s">
        <v>155</v>
      </c>
      <c r="Q301">
        <v>1000</v>
      </c>
      <c r="X301">
        <v>5.79</v>
      </c>
      <c r="Y301">
        <v>2562.79</v>
      </c>
      <c r="Z301">
        <v>0</v>
      </c>
      <c r="AA301">
        <v>0</v>
      </c>
      <c r="AB301">
        <v>0</v>
      </c>
      <c r="AC301">
        <v>0</v>
      </c>
      <c r="AD301">
        <v>1</v>
      </c>
      <c r="AE301">
        <v>0</v>
      </c>
      <c r="AF301" t="s">
        <v>3</v>
      </c>
      <c r="AG301">
        <v>5.79</v>
      </c>
      <c r="AH301">
        <v>2</v>
      </c>
      <c r="AI301">
        <v>38801558</v>
      </c>
      <c r="AJ301">
        <v>332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</row>
    <row r="302" spans="1:44" x14ac:dyDescent="0.2">
      <c r="A302">
        <f>ROW(Source!A608)</f>
        <v>608</v>
      </c>
      <c r="B302">
        <v>38801571</v>
      </c>
      <c r="C302">
        <v>38801566</v>
      </c>
      <c r="D302">
        <v>38451941</v>
      </c>
      <c r="E302">
        <v>27</v>
      </c>
      <c r="F302">
        <v>1</v>
      </c>
      <c r="G302">
        <v>27</v>
      </c>
      <c r="H302">
        <v>1</v>
      </c>
      <c r="I302" t="s">
        <v>387</v>
      </c>
      <c r="J302" t="s">
        <v>3</v>
      </c>
      <c r="K302" t="s">
        <v>388</v>
      </c>
      <c r="L302">
        <v>1191</v>
      </c>
      <c r="N302">
        <v>1013</v>
      </c>
      <c r="O302" t="s">
        <v>389</v>
      </c>
      <c r="P302" t="s">
        <v>389</v>
      </c>
      <c r="Q302">
        <v>1</v>
      </c>
      <c r="X302">
        <v>2.31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1</v>
      </c>
      <c r="AE302">
        <v>1</v>
      </c>
      <c r="AF302" t="s">
        <v>3</v>
      </c>
      <c r="AG302">
        <v>2.31</v>
      </c>
      <c r="AH302">
        <v>2</v>
      </c>
      <c r="AI302">
        <v>38801567</v>
      </c>
      <c r="AJ302">
        <v>333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</row>
    <row r="303" spans="1:44" x14ac:dyDescent="0.2">
      <c r="A303">
        <f>ROW(Source!A608)</f>
        <v>608</v>
      </c>
      <c r="B303">
        <v>38801572</v>
      </c>
      <c r="C303">
        <v>38801566</v>
      </c>
      <c r="D303">
        <v>38464567</v>
      </c>
      <c r="E303">
        <v>1</v>
      </c>
      <c r="F303">
        <v>1</v>
      </c>
      <c r="G303">
        <v>27</v>
      </c>
      <c r="H303">
        <v>2</v>
      </c>
      <c r="I303" t="s">
        <v>412</v>
      </c>
      <c r="J303" t="s">
        <v>413</v>
      </c>
      <c r="K303" t="s">
        <v>414</v>
      </c>
      <c r="L303">
        <v>1368</v>
      </c>
      <c r="N303">
        <v>1011</v>
      </c>
      <c r="O303" t="s">
        <v>393</v>
      </c>
      <c r="P303" t="s">
        <v>393</v>
      </c>
      <c r="Q303">
        <v>1</v>
      </c>
      <c r="X303">
        <v>0.14000000000000001</v>
      </c>
      <c r="Y303">
        <v>0</v>
      </c>
      <c r="Z303">
        <v>744.2</v>
      </c>
      <c r="AA303">
        <v>423.17</v>
      </c>
      <c r="AB303">
        <v>0</v>
      </c>
      <c r="AC303">
        <v>0</v>
      </c>
      <c r="AD303">
        <v>1</v>
      </c>
      <c r="AE303">
        <v>0</v>
      </c>
      <c r="AF303" t="s">
        <v>3</v>
      </c>
      <c r="AG303">
        <v>0.14000000000000001</v>
      </c>
      <c r="AH303">
        <v>2</v>
      </c>
      <c r="AI303">
        <v>38801568</v>
      </c>
      <c r="AJ303">
        <v>334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</row>
    <row r="304" spans="1:44" x14ac:dyDescent="0.2">
      <c r="A304">
        <f>ROW(Source!A608)</f>
        <v>608</v>
      </c>
      <c r="B304">
        <v>38801573</v>
      </c>
      <c r="C304">
        <v>38801566</v>
      </c>
      <c r="D304">
        <v>38465034</v>
      </c>
      <c r="E304">
        <v>1</v>
      </c>
      <c r="F304">
        <v>1</v>
      </c>
      <c r="G304">
        <v>27</v>
      </c>
      <c r="H304">
        <v>2</v>
      </c>
      <c r="I304" t="s">
        <v>420</v>
      </c>
      <c r="J304" t="s">
        <v>421</v>
      </c>
      <c r="K304" t="s">
        <v>422</v>
      </c>
      <c r="L304">
        <v>1368</v>
      </c>
      <c r="N304">
        <v>1011</v>
      </c>
      <c r="O304" t="s">
        <v>393</v>
      </c>
      <c r="P304" t="s">
        <v>393</v>
      </c>
      <c r="Q304">
        <v>1</v>
      </c>
      <c r="X304">
        <v>0.28000000000000003</v>
      </c>
      <c r="Y304">
        <v>0</v>
      </c>
      <c r="Z304">
        <v>3.75</v>
      </c>
      <c r="AA304">
        <v>2.56</v>
      </c>
      <c r="AB304">
        <v>0</v>
      </c>
      <c r="AC304">
        <v>0</v>
      </c>
      <c r="AD304">
        <v>1</v>
      </c>
      <c r="AE304">
        <v>0</v>
      </c>
      <c r="AF304" t="s">
        <v>3</v>
      </c>
      <c r="AG304">
        <v>0.28000000000000003</v>
      </c>
      <c r="AH304">
        <v>2</v>
      </c>
      <c r="AI304">
        <v>38801569</v>
      </c>
      <c r="AJ304">
        <v>335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</row>
    <row r="305" spans="1:44" x14ac:dyDescent="0.2">
      <c r="A305">
        <f>ROW(Source!A608)</f>
        <v>608</v>
      </c>
      <c r="B305">
        <v>38801574</v>
      </c>
      <c r="C305">
        <v>38801566</v>
      </c>
      <c r="D305">
        <v>38468294</v>
      </c>
      <c r="E305">
        <v>1</v>
      </c>
      <c r="F305">
        <v>1</v>
      </c>
      <c r="G305">
        <v>27</v>
      </c>
      <c r="H305">
        <v>3</v>
      </c>
      <c r="I305" t="s">
        <v>450</v>
      </c>
      <c r="J305" t="s">
        <v>451</v>
      </c>
      <c r="K305" t="s">
        <v>452</v>
      </c>
      <c r="L305">
        <v>1348</v>
      </c>
      <c r="N305">
        <v>1009</v>
      </c>
      <c r="O305" t="s">
        <v>155</v>
      </c>
      <c r="P305" t="s">
        <v>155</v>
      </c>
      <c r="Q305">
        <v>1000</v>
      </c>
      <c r="X305">
        <v>1.1599999999999999</v>
      </c>
      <c r="Y305">
        <v>2562.79</v>
      </c>
      <c r="Z305">
        <v>0</v>
      </c>
      <c r="AA305">
        <v>0</v>
      </c>
      <c r="AB305">
        <v>0</v>
      </c>
      <c r="AC305">
        <v>0</v>
      </c>
      <c r="AD305">
        <v>1</v>
      </c>
      <c r="AE305">
        <v>0</v>
      </c>
      <c r="AF305" t="s">
        <v>3</v>
      </c>
      <c r="AG305">
        <v>1.1599999999999999</v>
      </c>
      <c r="AH305">
        <v>2</v>
      </c>
      <c r="AI305">
        <v>38801570</v>
      </c>
      <c r="AJ305">
        <v>336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</row>
    <row r="306" spans="1:44" x14ac:dyDescent="0.2">
      <c r="A306">
        <f>ROW(Source!A712)</f>
        <v>712</v>
      </c>
      <c r="B306">
        <v>38801716</v>
      </c>
      <c r="C306">
        <v>38801707</v>
      </c>
      <c r="D306">
        <v>38451941</v>
      </c>
      <c r="E306">
        <v>27</v>
      </c>
      <c r="F306">
        <v>1</v>
      </c>
      <c r="G306">
        <v>27</v>
      </c>
      <c r="H306">
        <v>1</v>
      </c>
      <c r="I306" t="s">
        <v>387</v>
      </c>
      <c r="J306" t="s">
        <v>3</v>
      </c>
      <c r="K306" t="s">
        <v>388</v>
      </c>
      <c r="L306">
        <v>1191</v>
      </c>
      <c r="N306">
        <v>1013</v>
      </c>
      <c r="O306" t="s">
        <v>389</v>
      </c>
      <c r="P306" t="s">
        <v>389</v>
      </c>
      <c r="Q306">
        <v>1</v>
      </c>
      <c r="X306">
        <v>36.46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1</v>
      </c>
      <c r="AE306">
        <v>1</v>
      </c>
      <c r="AF306" t="s">
        <v>22</v>
      </c>
      <c r="AG306">
        <v>7.2920000000000007</v>
      </c>
      <c r="AH306">
        <v>2</v>
      </c>
      <c r="AI306">
        <v>38801708</v>
      </c>
      <c r="AJ306">
        <v>337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</row>
    <row r="307" spans="1:44" x14ac:dyDescent="0.2">
      <c r="A307">
        <f>ROW(Source!A712)</f>
        <v>712</v>
      </c>
      <c r="B307">
        <v>38801717</v>
      </c>
      <c r="C307">
        <v>38801707</v>
      </c>
      <c r="D307">
        <v>38464670</v>
      </c>
      <c r="E307">
        <v>1</v>
      </c>
      <c r="F307">
        <v>1</v>
      </c>
      <c r="G307">
        <v>27</v>
      </c>
      <c r="H307">
        <v>2</v>
      </c>
      <c r="I307" t="s">
        <v>390</v>
      </c>
      <c r="J307" t="s">
        <v>391</v>
      </c>
      <c r="K307" t="s">
        <v>392</v>
      </c>
      <c r="L307">
        <v>1368</v>
      </c>
      <c r="N307">
        <v>1011</v>
      </c>
      <c r="O307" t="s">
        <v>393</v>
      </c>
      <c r="P307" t="s">
        <v>393</v>
      </c>
      <c r="Q307">
        <v>1</v>
      </c>
      <c r="X307">
        <v>0.02</v>
      </c>
      <c r="Y307">
        <v>0</v>
      </c>
      <c r="Z307">
        <v>41.19</v>
      </c>
      <c r="AA307">
        <v>0.34</v>
      </c>
      <c r="AB307">
        <v>0</v>
      </c>
      <c r="AC307">
        <v>0</v>
      </c>
      <c r="AD307">
        <v>1</v>
      </c>
      <c r="AE307">
        <v>0</v>
      </c>
      <c r="AF307" t="s">
        <v>22</v>
      </c>
      <c r="AG307">
        <v>4.0000000000000001E-3</v>
      </c>
      <c r="AH307">
        <v>2</v>
      </c>
      <c r="AI307">
        <v>38801709</v>
      </c>
      <c r="AJ307">
        <v>338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</row>
    <row r="308" spans="1:44" x14ac:dyDescent="0.2">
      <c r="A308">
        <f>ROW(Source!A712)</f>
        <v>712</v>
      </c>
      <c r="B308">
        <v>38801718</v>
      </c>
      <c r="C308">
        <v>38801707</v>
      </c>
      <c r="D308">
        <v>38465076</v>
      </c>
      <c r="E308">
        <v>1</v>
      </c>
      <c r="F308">
        <v>1</v>
      </c>
      <c r="G308">
        <v>27</v>
      </c>
      <c r="H308">
        <v>2</v>
      </c>
      <c r="I308" t="s">
        <v>394</v>
      </c>
      <c r="J308" t="s">
        <v>395</v>
      </c>
      <c r="K308" t="s">
        <v>396</v>
      </c>
      <c r="L308">
        <v>1368</v>
      </c>
      <c r="N308">
        <v>1011</v>
      </c>
      <c r="O308" t="s">
        <v>393</v>
      </c>
      <c r="P308" t="s">
        <v>393</v>
      </c>
      <c r="Q308">
        <v>1</v>
      </c>
      <c r="X308">
        <v>0.2</v>
      </c>
      <c r="Y308">
        <v>0</v>
      </c>
      <c r="Z308">
        <v>27.02</v>
      </c>
      <c r="AA308">
        <v>0.03</v>
      </c>
      <c r="AB308">
        <v>0</v>
      </c>
      <c r="AC308">
        <v>0</v>
      </c>
      <c r="AD308">
        <v>1</v>
      </c>
      <c r="AE308">
        <v>0</v>
      </c>
      <c r="AF308" t="s">
        <v>22</v>
      </c>
      <c r="AG308">
        <v>4.0000000000000008E-2</v>
      </c>
      <c r="AH308">
        <v>2</v>
      </c>
      <c r="AI308">
        <v>38801710</v>
      </c>
      <c r="AJ308">
        <v>339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</row>
    <row r="309" spans="1:44" x14ac:dyDescent="0.2">
      <c r="A309">
        <f>ROW(Source!A712)</f>
        <v>712</v>
      </c>
      <c r="B309">
        <v>38801719</v>
      </c>
      <c r="C309">
        <v>38801707</v>
      </c>
      <c r="D309">
        <v>38465038</v>
      </c>
      <c r="E309">
        <v>1</v>
      </c>
      <c r="F309">
        <v>1</v>
      </c>
      <c r="G309">
        <v>27</v>
      </c>
      <c r="H309">
        <v>2</v>
      </c>
      <c r="I309" t="s">
        <v>397</v>
      </c>
      <c r="J309" t="s">
        <v>398</v>
      </c>
      <c r="K309" t="s">
        <v>399</v>
      </c>
      <c r="L309">
        <v>1368</v>
      </c>
      <c r="N309">
        <v>1011</v>
      </c>
      <c r="O309" t="s">
        <v>393</v>
      </c>
      <c r="P309" t="s">
        <v>393</v>
      </c>
      <c r="Q309">
        <v>1</v>
      </c>
      <c r="X309">
        <v>3.01</v>
      </c>
      <c r="Y309">
        <v>0</v>
      </c>
      <c r="Z309">
        <v>4.71</v>
      </c>
      <c r="AA309">
        <v>1.1200000000000001</v>
      </c>
      <c r="AB309">
        <v>0</v>
      </c>
      <c r="AC309">
        <v>0</v>
      </c>
      <c r="AD309">
        <v>1</v>
      </c>
      <c r="AE309">
        <v>0</v>
      </c>
      <c r="AF309" t="s">
        <v>22</v>
      </c>
      <c r="AG309">
        <v>0.60199999999999998</v>
      </c>
      <c r="AH309">
        <v>2</v>
      </c>
      <c r="AI309">
        <v>38801711</v>
      </c>
      <c r="AJ309">
        <v>340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</row>
    <row r="310" spans="1:44" x14ac:dyDescent="0.2">
      <c r="A310">
        <f>ROW(Source!A712)</f>
        <v>712</v>
      </c>
      <c r="B310">
        <v>38801720</v>
      </c>
      <c r="C310">
        <v>38801707</v>
      </c>
      <c r="D310">
        <v>38464353</v>
      </c>
      <c r="E310">
        <v>1</v>
      </c>
      <c r="F310">
        <v>1</v>
      </c>
      <c r="G310">
        <v>27</v>
      </c>
      <c r="H310">
        <v>2</v>
      </c>
      <c r="I310" t="s">
        <v>400</v>
      </c>
      <c r="J310" t="s">
        <v>401</v>
      </c>
      <c r="K310" t="s">
        <v>402</v>
      </c>
      <c r="L310">
        <v>1368</v>
      </c>
      <c r="N310">
        <v>1011</v>
      </c>
      <c r="O310" t="s">
        <v>393</v>
      </c>
      <c r="P310" t="s">
        <v>393</v>
      </c>
      <c r="Q310">
        <v>1</v>
      </c>
      <c r="X310">
        <v>1.1000000000000001</v>
      </c>
      <c r="Y310">
        <v>0</v>
      </c>
      <c r="Z310">
        <v>10.39</v>
      </c>
      <c r="AA310">
        <v>0.03</v>
      </c>
      <c r="AB310">
        <v>0</v>
      </c>
      <c r="AC310">
        <v>0</v>
      </c>
      <c r="AD310">
        <v>1</v>
      </c>
      <c r="AE310">
        <v>0</v>
      </c>
      <c r="AF310" t="s">
        <v>22</v>
      </c>
      <c r="AG310">
        <v>0.22000000000000003</v>
      </c>
      <c r="AH310">
        <v>2</v>
      </c>
      <c r="AI310">
        <v>38801712</v>
      </c>
      <c r="AJ310">
        <v>341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</row>
    <row r="311" spans="1:44" x14ac:dyDescent="0.2">
      <c r="A311">
        <f>ROW(Source!A712)</f>
        <v>712</v>
      </c>
      <c r="B311">
        <v>38801721</v>
      </c>
      <c r="C311">
        <v>38801707</v>
      </c>
      <c r="D311">
        <v>38466121</v>
      </c>
      <c r="E311">
        <v>1</v>
      </c>
      <c r="F311">
        <v>1</v>
      </c>
      <c r="G311">
        <v>27</v>
      </c>
      <c r="H311">
        <v>3</v>
      </c>
      <c r="I311" t="s">
        <v>403</v>
      </c>
      <c r="J311" t="s">
        <v>404</v>
      </c>
      <c r="K311" t="s">
        <v>405</v>
      </c>
      <c r="L311">
        <v>1327</v>
      </c>
      <c r="N311">
        <v>1005</v>
      </c>
      <c r="O311" t="s">
        <v>289</v>
      </c>
      <c r="P311" t="s">
        <v>289</v>
      </c>
      <c r="Q311">
        <v>1</v>
      </c>
      <c r="X311">
        <v>100</v>
      </c>
      <c r="Y311">
        <v>397.91</v>
      </c>
      <c r="Z311">
        <v>0</v>
      </c>
      <c r="AA311">
        <v>0</v>
      </c>
      <c r="AB311">
        <v>0</v>
      </c>
      <c r="AC311">
        <v>0</v>
      </c>
      <c r="AD311">
        <v>1</v>
      </c>
      <c r="AE311">
        <v>0</v>
      </c>
      <c r="AF311" t="s">
        <v>21</v>
      </c>
      <c r="AG311">
        <v>0</v>
      </c>
      <c r="AH311">
        <v>2</v>
      </c>
      <c r="AI311">
        <v>38801713</v>
      </c>
      <c r="AJ311">
        <v>342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</row>
    <row r="312" spans="1:44" x14ac:dyDescent="0.2">
      <c r="A312">
        <f>ROW(Source!A712)</f>
        <v>712</v>
      </c>
      <c r="B312">
        <v>38801722</v>
      </c>
      <c r="C312">
        <v>38801707</v>
      </c>
      <c r="D312">
        <v>38466153</v>
      </c>
      <c r="E312">
        <v>1</v>
      </c>
      <c r="F312">
        <v>1</v>
      </c>
      <c r="G312">
        <v>27</v>
      </c>
      <c r="H312">
        <v>3</v>
      </c>
      <c r="I312" t="s">
        <v>406</v>
      </c>
      <c r="J312" t="s">
        <v>407</v>
      </c>
      <c r="K312" t="s">
        <v>408</v>
      </c>
      <c r="L312">
        <v>1348</v>
      </c>
      <c r="N312">
        <v>1009</v>
      </c>
      <c r="O312" t="s">
        <v>155</v>
      </c>
      <c r="P312" t="s">
        <v>155</v>
      </c>
      <c r="Q312">
        <v>1000</v>
      </c>
      <c r="X312">
        <v>2E-3</v>
      </c>
      <c r="Y312">
        <v>153777.19</v>
      </c>
      <c r="Z312">
        <v>0</v>
      </c>
      <c r="AA312">
        <v>0</v>
      </c>
      <c r="AB312">
        <v>0</v>
      </c>
      <c r="AC312">
        <v>0</v>
      </c>
      <c r="AD312">
        <v>1</v>
      </c>
      <c r="AE312">
        <v>0</v>
      </c>
      <c r="AF312" t="s">
        <v>21</v>
      </c>
      <c r="AG312">
        <v>0</v>
      </c>
      <c r="AH312">
        <v>2</v>
      </c>
      <c r="AI312">
        <v>38801714</v>
      </c>
      <c r="AJ312">
        <v>343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</row>
    <row r="313" spans="1:44" x14ac:dyDescent="0.2">
      <c r="A313">
        <f>ROW(Source!A712)</f>
        <v>712</v>
      </c>
      <c r="B313">
        <v>38801723</v>
      </c>
      <c r="C313">
        <v>38801707</v>
      </c>
      <c r="D313">
        <v>38469131</v>
      </c>
      <c r="E313">
        <v>1</v>
      </c>
      <c r="F313">
        <v>1</v>
      </c>
      <c r="G313">
        <v>27</v>
      </c>
      <c r="H313">
        <v>3</v>
      </c>
      <c r="I313" t="s">
        <v>409</v>
      </c>
      <c r="J313" t="s">
        <v>410</v>
      </c>
      <c r="K313" t="s">
        <v>411</v>
      </c>
      <c r="L313">
        <v>1348</v>
      </c>
      <c r="N313">
        <v>1009</v>
      </c>
      <c r="O313" t="s">
        <v>155</v>
      </c>
      <c r="P313" t="s">
        <v>155</v>
      </c>
      <c r="Q313">
        <v>1000</v>
      </c>
      <c r="X313">
        <v>1.0999999999999999E-2</v>
      </c>
      <c r="Y313">
        <v>75026.559999999998</v>
      </c>
      <c r="Z313">
        <v>0</v>
      </c>
      <c r="AA313">
        <v>0</v>
      </c>
      <c r="AB313">
        <v>0</v>
      </c>
      <c r="AC313">
        <v>0</v>
      </c>
      <c r="AD313">
        <v>1</v>
      </c>
      <c r="AE313">
        <v>0</v>
      </c>
      <c r="AF313" t="s">
        <v>21</v>
      </c>
      <c r="AG313">
        <v>0</v>
      </c>
      <c r="AH313">
        <v>2</v>
      </c>
      <c r="AI313">
        <v>38801715</v>
      </c>
      <c r="AJ313">
        <v>344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</row>
    <row r="314" spans="1:44" x14ac:dyDescent="0.2">
      <c r="A314">
        <f>ROW(Source!A713)</f>
        <v>713</v>
      </c>
      <c r="B314">
        <v>38801730</v>
      </c>
      <c r="C314">
        <v>38801724</v>
      </c>
      <c r="D314">
        <v>38451941</v>
      </c>
      <c r="E314">
        <v>27</v>
      </c>
      <c r="F314">
        <v>1</v>
      </c>
      <c r="G314">
        <v>27</v>
      </c>
      <c r="H314">
        <v>1</v>
      </c>
      <c r="I314" t="s">
        <v>387</v>
      </c>
      <c r="J314" t="s">
        <v>3</v>
      </c>
      <c r="K314" t="s">
        <v>388</v>
      </c>
      <c r="L314">
        <v>1191</v>
      </c>
      <c r="N314">
        <v>1013</v>
      </c>
      <c r="O314" t="s">
        <v>389</v>
      </c>
      <c r="P314" t="s">
        <v>389</v>
      </c>
      <c r="Q314">
        <v>1</v>
      </c>
      <c r="X314">
        <v>110.4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1</v>
      </c>
      <c r="AE314">
        <v>1</v>
      </c>
      <c r="AF314" t="s">
        <v>22</v>
      </c>
      <c r="AG314">
        <v>22.080000000000002</v>
      </c>
      <c r="AH314">
        <v>2</v>
      </c>
      <c r="AI314">
        <v>38801725</v>
      </c>
      <c r="AJ314">
        <v>345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</row>
    <row r="315" spans="1:44" x14ac:dyDescent="0.2">
      <c r="A315">
        <f>ROW(Source!A713)</f>
        <v>713</v>
      </c>
      <c r="B315">
        <v>38801731</v>
      </c>
      <c r="C315">
        <v>38801724</v>
      </c>
      <c r="D315">
        <v>38464342</v>
      </c>
      <c r="E315">
        <v>1</v>
      </c>
      <c r="F315">
        <v>1</v>
      </c>
      <c r="G315">
        <v>27</v>
      </c>
      <c r="H315">
        <v>2</v>
      </c>
      <c r="I315" t="s">
        <v>520</v>
      </c>
      <c r="J315" t="s">
        <v>521</v>
      </c>
      <c r="K315" t="s">
        <v>522</v>
      </c>
      <c r="L315">
        <v>1368</v>
      </c>
      <c r="N315">
        <v>1011</v>
      </c>
      <c r="O315" t="s">
        <v>393</v>
      </c>
      <c r="P315" t="s">
        <v>393</v>
      </c>
      <c r="Q315">
        <v>1</v>
      </c>
      <c r="X315">
        <v>24</v>
      </c>
      <c r="Y315">
        <v>0</v>
      </c>
      <c r="Z315">
        <v>31</v>
      </c>
      <c r="AA315">
        <v>1.35</v>
      </c>
      <c r="AB315">
        <v>0</v>
      </c>
      <c r="AC315">
        <v>0</v>
      </c>
      <c r="AD315">
        <v>1</v>
      </c>
      <c r="AE315">
        <v>0</v>
      </c>
      <c r="AF315" t="s">
        <v>22</v>
      </c>
      <c r="AG315">
        <v>4.8000000000000007</v>
      </c>
      <c r="AH315">
        <v>2</v>
      </c>
      <c r="AI315">
        <v>38801726</v>
      </c>
      <c r="AJ315">
        <v>346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</row>
    <row r="316" spans="1:44" x14ac:dyDescent="0.2">
      <c r="A316">
        <f>ROW(Source!A713)</f>
        <v>713</v>
      </c>
      <c r="B316">
        <v>38801732</v>
      </c>
      <c r="C316">
        <v>38801724</v>
      </c>
      <c r="D316">
        <v>38466161</v>
      </c>
      <c r="E316">
        <v>1</v>
      </c>
      <c r="F316">
        <v>1</v>
      </c>
      <c r="G316">
        <v>27</v>
      </c>
      <c r="H316">
        <v>3</v>
      </c>
      <c r="I316" t="s">
        <v>523</v>
      </c>
      <c r="J316" t="s">
        <v>524</v>
      </c>
      <c r="K316" t="s">
        <v>525</v>
      </c>
      <c r="L316">
        <v>1348</v>
      </c>
      <c r="N316">
        <v>1009</v>
      </c>
      <c r="O316" t="s">
        <v>155</v>
      </c>
      <c r="P316" t="s">
        <v>155</v>
      </c>
      <c r="Q316">
        <v>1000</v>
      </c>
      <c r="X316">
        <v>5.0000000000000001E-3</v>
      </c>
      <c r="Y316">
        <v>105084.63</v>
      </c>
      <c r="Z316">
        <v>0</v>
      </c>
      <c r="AA316">
        <v>0</v>
      </c>
      <c r="AB316">
        <v>0</v>
      </c>
      <c r="AC316">
        <v>0</v>
      </c>
      <c r="AD316">
        <v>1</v>
      </c>
      <c r="AE316">
        <v>0</v>
      </c>
      <c r="AF316" t="s">
        <v>21</v>
      </c>
      <c r="AG316">
        <v>0</v>
      </c>
      <c r="AH316">
        <v>2</v>
      </c>
      <c r="AI316">
        <v>38801727</v>
      </c>
      <c r="AJ316">
        <v>347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</row>
    <row r="317" spans="1:44" x14ac:dyDescent="0.2">
      <c r="A317">
        <f>ROW(Source!A713)</f>
        <v>713</v>
      </c>
      <c r="B317">
        <v>38801733</v>
      </c>
      <c r="C317">
        <v>38801724</v>
      </c>
      <c r="D317">
        <v>38467018</v>
      </c>
      <c r="E317">
        <v>1</v>
      </c>
      <c r="F317">
        <v>1</v>
      </c>
      <c r="G317">
        <v>27</v>
      </c>
      <c r="H317">
        <v>3</v>
      </c>
      <c r="I317" t="s">
        <v>496</v>
      </c>
      <c r="J317" t="s">
        <v>497</v>
      </c>
      <c r="K317" t="s">
        <v>498</v>
      </c>
      <c r="L317">
        <v>1348</v>
      </c>
      <c r="N317">
        <v>1009</v>
      </c>
      <c r="O317" t="s">
        <v>155</v>
      </c>
      <c r="P317" t="s">
        <v>155</v>
      </c>
      <c r="Q317">
        <v>1000</v>
      </c>
      <c r="X317">
        <v>2E-3</v>
      </c>
      <c r="Y317">
        <v>110781.14</v>
      </c>
      <c r="Z317">
        <v>0</v>
      </c>
      <c r="AA317">
        <v>0</v>
      </c>
      <c r="AB317">
        <v>0</v>
      </c>
      <c r="AC317">
        <v>0</v>
      </c>
      <c r="AD317">
        <v>1</v>
      </c>
      <c r="AE317">
        <v>0</v>
      </c>
      <c r="AF317" t="s">
        <v>21</v>
      </c>
      <c r="AG317">
        <v>0</v>
      </c>
      <c r="AH317">
        <v>2</v>
      </c>
      <c r="AI317">
        <v>38801728</v>
      </c>
      <c r="AJ317">
        <v>348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</row>
    <row r="318" spans="1:44" x14ac:dyDescent="0.2">
      <c r="A318">
        <f>ROW(Source!A713)</f>
        <v>713</v>
      </c>
      <c r="B318">
        <v>38801734</v>
      </c>
      <c r="C318">
        <v>38801724</v>
      </c>
      <c r="D318">
        <v>38469130</v>
      </c>
      <c r="E318">
        <v>1</v>
      </c>
      <c r="F318">
        <v>1</v>
      </c>
      <c r="G318">
        <v>27</v>
      </c>
      <c r="H318">
        <v>3</v>
      </c>
      <c r="I318" t="s">
        <v>572</v>
      </c>
      <c r="J318" t="s">
        <v>573</v>
      </c>
      <c r="K318" t="s">
        <v>574</v>
      </c>
      <c r="L318">
        <v>1348</v>
      </c>
      <c r="N318">
        <v>1009</v>
      </c>
      <c r="O318" t="s">
        <v>155</v>
      </c>
      <c r="P318" t="s">
        <v>155</v>
      </c>
      <c r="Q318">
        <v>1000</v>
      </c>
      <c r="X318">
        <v>1</v>
      </c>
      <c r="Y318">
        <v>79722.539999999994</v>
      </c>
      <c r="Z318">
        <v>0</v>
      </c>
      <c r="AA318">
        <v>0</v>
      </c>
      <c r="AB318">
        <v>0</v>
      </c>
      <c r="AC318">
        <v>0</v>
      </c>
      <c r="AD318">
        <v>1</v>
      </c>
      <c r="AE318">
        <v>0</v>
      </c>
      <c r="AF318" t="s">
        <v>21</v>
      </c>
      <c r="AG318">
        <v>0</v>
      </c>
      <c r="AH318">
        <v>2</v>
      </c>
      <c r="AI318">
        <v>38801729</v>
      </c>
      <c r="AJ318">
        <v>349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</row>
    <row r="319" spans="1:44" x14ac:dyDescent="0.2">
      <c r="A319">
        <f>ROW(Source!A714)</f>
        <v>714</v>
      </c>
      <c r="B319">
        <v>38801740</v>
      </c>
      <c r="C319">
        <v>38801735</v>
      </c>
      <c r="D319">
        <v>38451941</v>
      </c>
      <c r="E319">
        <v>25</v>
      </c>
      <c r="F319">
        <v>1</v>
      </c>
      <c r="G319">
        <v>27</v>
      </c>
      <c r="H319">
        <v>1</v>
      </c>
      <c r="I319" t="s">
        <v>387</v>
      </c>
      <c r="J319" t="s">
        <v>3</v>
      </c>
      <c r="K319" t="s">
        <v>388</v>
      </c>
      <c r="L319">
        <v>1191</v>
      </c>
      <c r="N319">
        <v>1013</v>
      </c>
      <c r="O319" t="s">
        <v>389</v>
      </c>
      <c r="P319" t="s">
        <v>389</v>
      </c>
      <c r="Q319">
        <v>1</v>
      </c>
      <c r="X319">
        <v>38.979999999999997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1</v>
      </c>
      <c r="AE319">
        <v>1</v>
      </c>
      <c r="AF319" t="s">
        <v>3</v>
      </c>
      <c r="AG319">
        <v>38.979999999999997</v>
      </c>
      <c r="AH319">
        <v>2</v>
      </c>
      <c r="AI319">
        <v>38801736</v>
      </c>
      <c r="AJ319">
        <v>350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</row>
    <row r="320" spans="1:44" x14ac:dyDescent="0.2">
      <c r="A320">
        <f>ROW(Source!A714)</f>
        <v>714</v>
      </c>
      <c r="B320">
        <v>38801741</v>
      </c>
      <c r="C320">
        <v>38801735</v>
      </c>
      <c r="D320">
        <v>37927811</v>
      </c>
      <c r="E320">
        <v>1</v>
      </c>
      <c r="F320">
        <v>1</v>
      </c>
      <c r="G320">
        <v>27</v>
      </c>
      <c r="H320">
        <v>2</v>
      </c>
      <c r="I320" t="s">
        <v>575</v>
      </c>
      <c r="J320" t="s">
        <v>576</v>
      </c>
      <c r="K320" t="s">
        <v>577</v>
      </c>
      <c r="L320">
        <v>1368</v>
      </c>
      <c r="N320">
        <v>1011</v>
      </c>
      <c r="O320" t="s">
        <v>393</v>
      </c>
      <c r="P320" t="s">
        <v>393</v>
      </c>
      <c r="Q320">
        <v>1</v>
      </c>
      <c r="X320">
        <v>5.28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1</v>
      </c>
      <c r="AE320">
        <v>0</v>
      </c>
      <c r="AF320" t="s">
        <v>3</v>
      </c>
      <c r="AG320">
        <v>5.28</v>
      </c>
      <c r="AH320">
        <v>2</v>
      </c>
      <c r="AI320">
        <v>38801737</v>
      </c>
      <c r="AJ320">
        <v>351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</row>
    <row r="321" spans="1:44" x14ac:dyDescent="0.2">
      <c r="A321">
        <f>ROW(Source!A714)</f>
        <v>714</v>
      </c>
      <c r="B321">
        <v>38801742</v>
      </c>
      <c r="C321">
        <v>38801735</v>
      </c>
      <c r="D321">
        <v>37927770</v>
      </c>
      <c r="E321">
        <v>1</v>
      </c>
      <c r="F321">
        <v>1</v>
      </c>
      <c r="G321">
        <v>27</v>
      </c>
      <c r="H321">
        <v>2</v>
      </c>
      <c r="I321" t="s">
        <v>538</v>
      </c>
      <c r="J321" t="s">
        <v>578</v>
      </c>
      <c r="K321" t="s">
        <v>540</v>
      </c>
      <c r="L321">
        <v>1368</v>
      </c>
      <c r="N321">
        <v>1011</v>
      </c>
      <c r="O321" t="s">
        <v>393</v>
      </c>
      <c r="P321" t="s">
        <v>393</v>
      </c>
      <c r="Q321">
        <v>1</v>
      </c>
      <c r="X321">
        <v>0.21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1</v>
      </c>
      <c r="AE321">
        <v>0</v>
      </c>
      <c r="AF321" t="s">
        <v>3</v>
      </c>
      <c r="AG321">
        <v>0.21</v>
      </c>
      <c r="AH321">
        <v>2</v>
      </c>
      <c r="AI321">
        <v>38801738</v>
      </c>
      <c r="AJ321">
        <v>352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</row>
    <row r="322" spans="1:44" x14ac:dyDescent="0.2">
      <c r="A322">
        <f>ROW(Source!A714)</f>
        <v>714</v>
      </c>
      <c r="B322">
        <v>38801743</v>
      </c>
      <c r="C322">
        <v>38801735</v>
      </c>
      <c r="D322">
        <v>37927788</v>
      </c>
      <c r="E322">
        <v>1</v>
      </c>
      <c r="F322">
        <v>1</v>
      </c>
      <c r="G322">
        <v>27</v>
      </c>
      <c r="H322">
        <v>2</v>
      </c>
      <c r="I322" t="s">
        <v>579</v>
      </c>
      <c r="J322" t="s">
        <v>580</v>
      </c>
      <c r="K322" t="s">
        <v>581</v>
      </c>
      <c r="L322">
        <v>1368</v>
      </c>
      <c r="N322">
        <v>1011</v>
      </c>
      <c r="O322" t="s">
        <v>393</v>
      </c>
      <c r="P322" t="s">
        <v>393</v>
      </c>
      <c r="Q322">
        <v>1</v>
      </c>
      <c r="X322">
        <v>1.38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1</v>
      </c>
      <c r="AE322">
        <v>0</v>
      </c>
      <c r="AF322" t="s">
        <v>3</v>
      </c>
      <c r="AG322">
        <v>1.38</v>
      </c>
      <c r="AH322">
        <v>2</v>
      </c>
      <c r="AI322">
        <v>38801739</v>
      </c>
      <c r="AJ322">
        <v>353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</row>
    <row r="323" spans="1:44" x14ac:dyDescent="0.2">
      <c r="A323">
        <f>ROW(Source!A750)</f>
        <v>750</v>
      </c>
      <c r="B323">
        <v>38801818</v>
      </c>
      <c r="C323">
        <v>38801810</v>
      </c>
      <c r="D323">
        <v>38451941</v>
      </c>
      <c r="E323">
        <v>27</v>
      </c>
      <c r="F323">
        <v>1</v>
      </c>
      <c r="G323">
        <v>27</v>
      </c>
      <c r="H323">
        <v>1</v>
      </c>
      <c r="I323" t="s">
        <v>387</v>
      </c>
      <c r="J323" t="s">
        <v>3</v>
      </c>
      <c r="K323" t="s">
        <v>388</v>
      </c>
      <c r="L323">
        <v>1191</v>
      </c>
      <c r="N323">
        <v>1013</v>
      </c>
      <c r="O323" t="s">
        <v>389</v>
      </c>
      <c r="P323" t="s">
        <v>389</v>
      </c>
      <c r="Q323">
        <v>1</v>
      </c>
      <c r="X323">
        <v>16.440000000000001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1</v>
      </c>
      <c r="AE323">
        <v>1</v>
      </c>
      <c r="AF323" t="s">
        <v>3</v>
      </c>
      <c r="AG323">
        <v>16.440000000000001</v>
      </c>
      <c r="AH323">
        <v>2</v>
      </c>
      <c r="AI323">
        <v>38801811</v>
      </c>
      <c r="AJ323">
        <v>354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</row>
    <row r="324" spans="1:44" x14ac:dyDescent="0.2">
      <c r="A324">
        <f>ROW(Source!A750)</f>
        <v>750</v>
      </c>
      <c r="B324">
        <v>38801819</v>
      </c>
      <c r="C324">
        <v>38801810</v>
      </c>
      <c r="D324">
        <v>38464567</v>
      </c>
      <c r="E324">
        <v>1</v>
      </c>
      <c r="F324">
        <v>1</v>
      </c>
      <c r="G324">
        <v>27</v>
      </c>
      <c r="H324">
        <v>2</v>
      </c>
      <c r="I324" t="s">
        <v>412</v>
      </c>
      <c r="J324" t="s">
        <v>413</v>
      </c>
      <c r="K324" t="s">
        <v>414</v>
      </c>
      <c r="L324">
        <v>1368</v>
      </c>
      <c r="N324">
        <v>1011</v>
      </c>
      <c r="O324" t="s">
        <v>393</v>
      </c>
      <c r="P324" t="s">
        <v>393</v>
      </c>
      <c r="Q324">
        <v>1</v>
      </c>
      <c r="X324">
        <v>0.55000000000000004</v>
      </c>
      <c r="Y324">
        <v>0</v>
      </c>
      <c r="Z324">
        <v>744.2</v>
      </c>
      <c r="AA324">
        <v>423.17</v>
      </c>
      <c r="AB324">
        <v>0</v>
      </c>
      <c r="AC324">
        <v>0</v>
      </c>
      <c r="AD324">
        <v>1</v>
      </c>
      <c r="AE324">
        <v>0</v>
      </c>
      <c r="AF324" t="s">
        <v>3</v>
      </c>
      <c r="AG324">
        <v>0.55000000000000004</v>
      </c>
      <c r="AH324">
        <v>2</v>
      </c>
      <c r="AI324">
        <v>38801812</v>
      </c>
      <c r="AJ324">
        <v>355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</row>
    <row r="325" spans="1:44" x14ac:dyDescent="0.2">
      <c r="A325">
        <f>ROW(Source!A750)</f>
        <v>750</v>
      </c>
      <c r="B325">
        <v>38801820</v>
      </c>
      <c r="C325">
        <v>38801810</v>
      </c>
      <c r="D325">
        <v>38464689</v>
      </c>
      <c r="E325">
        <v>1</v>
      </c>
      <c r="F325">
        <v>1</v>
      </c>
      <c r="G325">
        <v>27</v>
      </c>
      <c r="H325">
        <v>2</v>
      </c>
      <c r="I325" t="s">
        <v>441</v>
      </c>
      <c r="J325" t="s">
        <v>442</v>
      </c>
      <c r="K325" t="s">
        <v>443</v>
      </c>
      <c r="L325">
        <v>1368</v>
      </c>
      <c r="N325">
        <v>1011</v>
      </c>
      <c r="O325" t="s">
        <v>393</v>
      </c>
      <c r="P325" t="s">
        <v>393</v>
      </c>
      <c r="Q325">
        <v>1</v>
      </c>
      <c r="X325">
        <v>0.81</v>
      </c>
      <c r="Y325">
        <v>0</v>
      </c>
      <c r="Z325">
        <v>1977.07</v>
      </c>
      <c r="AA325">
        <v>1200.6500000000001</v>
      </c>
      <c r="AB325">
        <v>0</v>
      </c>
      <c r="AC325">
        <v>0</v>
      </c>
      <c r="AD325">
        <v>1</v>
      </c>
      <c r="AE325">
        <v>0</v>
      </c>
      <c r="AF325" t="s">
        <v>3</v>
      </c>
      <c r="AG325">
        <v>0.81</v>
      </c>
      <c r="AH325">
        <v>2</v>
      </c>
      <c r="AI325">
        <v>38801813</v>
      </c>
      <c r="AJ325">
        <v>356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</row>
    <row r="326" spans="1:44" x14ac:dyDescent="0.2">
      <c r="A326">
        <f>ROW(Source!A750)</f>
        <v>750</v>
      </c>
      <c r="B326">
        <v>38801821</v>
      </c>
      <c r="C326">
        <v>38801810</v>
      </c>
      <c r="D326">
        <v>38465034</v>
      </c>
      <c r="E326">
        <v>1</v>
      </c>
      <c r="F326">
        <v>1</v>
      </c>
      <c r="G326">
        <v>27</v>
      </c>
      <c r="H326">
        <v>2</v>
      </c>
      <c r="I326" t="s">
        <v>420</v>
      </c>
      <c r="J326" t="s">
        <v>421</v>
      </c>
      <c r="K326" t="s">
        <v>422</v>
      </c>
      <c r="L326">
        <v>1368</v>
      </c>
      <c r="N326">
        <v>1011</v>
      </c>
      <c r="O326" t="s">
        <v>393</v>
      </c>
      <c r="P326" t="s">
        <v>393</v>
      </c>
      <c r="Q326">
        <v>1</v>
      </c>
      <c r="X326">
        <v>1.08</v>
      </c>
      <c r="Y326">
        <v>0</v>
      </c>
      <c r="Z326">
        <v>3.75</v>
      </c>
      <c r="AA326">
        <v>2.56</v>
      </c>
      <c r="AB326">
        <v>0</v>
      </c>
      <c r="AC326">
        <v>0</v>
      </c>
      <c r="AD326">
        <v>1</v>
      </c>
      <c r="AE326">
        <v>0</v>
      </c>
      <c r="AF326" t="s">
        <v>3</v>
      </c>
      <c r="AG326">
        <v>1.08</v>
      </c>
      <c r="AH326">
        <v>2</v>
      </c>
      <c r="AI326">
        <v>38801814</v>
      </c>
      <c r="AJ326">
        <v>357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</row>
    <row r="327" spans="1:44" x14ac:dyDescent="0.2">
      <c r="A327">
        <f>ROW(Source!A750)</f>
        <v>750</v>
      </c>
      <c r="B327">
        <v>38801822</v>
      </c>
      <c r="C327">
        <v>38801810</v>
      </c>
      <c r="D327">
        <v>38465228</v>
      </c>
      <c r="E327">
        <v>1</v>
      </c>
      <c r="F327">
        <v>1</v>
      </c>
      <c r="G327">
        <v>27</v>
      </c>
      <c r="H327">
        <v>3</v>
      </c>
      <c r="I327" t="s">
        <v>444</v>
      </c>
      <c r="J327" t="s">
        <v>445</v>
      </c>
      <c r="K327" t="s">
        <v>446</v>
      </c>
      <c r="L327">
        <v>1348</v>
      </c>
      <c r="N327">
        <v>1009</v>
      </c>
      <c r="O327" t="s">
        <v>155</v>
      </c>
      <c r="P327" t="s">
        <v>155</v>
      </c>
      <c r="Q327">
        <v>1000</v>
      </c>
      <c r="X327">
        <v>6.9000000000000006E-2</v>
      </c>
      <c r="Y327">
        <v>36258.75</v>
      </c>
      <c r="Z327">
        <v>0</v>
      </c>
      <c r="AA327">
        <v>0</v>
      </c>
      <c r="AB327">
        <v>0</v>
      </c>
      <c r="AC327">
        <v>0</v>
      </c>
      <c r="AD327">
        <v>1</v>
      </c>
      <c r="AE327">
        <v>0</v>
      </c>
      <c r="AF327" t="s">
        <v>3</v>
      </c>
      <c r="AG327">
        <v>6.9000000000000006E-2</v>
      </c>
      <c r="AH327">
        <v>2</v>
      </c>
      <c r="AI327">
        <v>38801815</v>
      </c>
      <c r="AJ327">
        <v>358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</row>
    <row r="328" spans="1:44" x14ac:dyDescent="0.2">
      <c r="A328">
        <f>ROW(Source!A750)</f>
        <v>750</v>
      </c>
      <c r="B328">
        <v>38801823</v>
      </c>
      <c r="C328">
        <v>38801810</v>
      </c>
      <c r="D328">
        <v>38465769</v>
      </c>
      <c r="E328">
        <v>1</v>
      </c>
      <c r="F328">
        <v>1</v>
      </c>
      <c r="G328">
        <v>27</v>
      </c>
      <c r="H328">
        <v>3</v>
      </c>
      <c r="I328" t="s">
        <v>447</v>
      </c>
      <c r="J328" t="s">
        <v>448</v>
      </c>
      <c r="K328" t="s">
        <v>449</v>
      </c>
      <c r="L328">
        <v>1339</v>
      </c>
      <c r="N328">
        <v>1007</v>
      </c>
      <c r="O328" t="s">
        <v>35</v>
      </c>
      <c r="P328" t="s">
        <v>35</v>
      </c>
      <c r="Q328">
        <v>1</v>
      </c>
      <c r="X328">
        <v>0.01</v>
      </c>
      <c r="Y328">
        <v>7064.05</v>
      </c>
      <c r="Z328">
        <v>0</v>
      </c>
      <c r="AA328">
        <v>0</v>
      </c>
      <c r="AB328">
        <v>0</v>
      </c>
      <c r="AC328">
        <v>0</v>
      </c>
      <c r="AD328">
        <v>1</v>
      </c>
      <c r="AE328">
        <v>0</v>
      </c>
      <c r="AF328" t="s">
        <v>3</v>
      </c>
      <c r="AG328">
        <v>0.01</v>
      </c>
      <c r="AH328">
        <v>2</v>
      </c>
      <c r="AI328">
        <v>38801816</v>
      </c>
      <c r="AJ328">
        <v>359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</row>
    <row r="329" spans="1:44" x14ac:dyDescent="0.2">
      <c r="A329">
        <f>ROW(Source!A750)</f>
        <v>750</v>
      </c>
      <c r="B329">
        <v>38801824</v>
      </c>
      <c r="C329">
        <v>38801810</v>
      </c>
      <c r="D329">
        <v>38468294</v>
      </c>
      <c r="E329">
        <v>1</v>
      </c>
      <c r="F329">
        <v>1</v>
      </c>
      <c r="G329">
        <v>27</v>
      </c>
      <c r="H329">
        <v>3</v>
      </c>
      <c r="I329" t="s">
        <v>450</v>
      </c>
      <c r="J329" t="s">
        <v>451</v>
      </c>
      <c r="K329" t="s">
        <v>452</v>
      </c>
      <c r="L329">
        <v>1348</v>
      </c>
      <c r="N329">
        <v>1009</v>
      </c>
      <c r="O329" t="s">
        <v>155</v>
      </c>
      <c r="P329" t="s">
        <v>155</v>
      </c>
      <c r="Q329">
        <v>1000</v>
      </c>
      <c r="X329">
        <v>5.79</v>
      </c>
      <c r="Y329">
        <v>2562.79</v>
      </c>
      <c r="Z329">
        <v>0</v>
      </c>
      <c r="AA329">
        <v>0</v>
      </c>
      <c r="AB329">
        <v>0</v>
      </c>
      <c r="AC329">
        <v>0</v>
      </c>
      <c r="AD329">
        <v>1</v>
      </c>
      <c r="AE329">
        <v>0</v>
      </c>
      <c r="AF329" t="s">
        <v>3</v>
      </c>
      <c r="AG329">
        <v>5.79</v>
      </c>
      <c r="AH329">
        <v>2</v>
      </c>
      <c r="AI329">
        <v>38801817</v>
      </c>
      <c r="AJ329">
        <v>360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</row>
    <row r="330" spans="1:44" x14ac:dyDescent="0.2">
      <c r="A330">
        <f>ROW(Source!A751)</f>
        <v>751</v>
      </c>
      <c r="B330">
        <v>38801830</v>
      </c>
      <c r="C330">
        <v>38801825</v>
      </c>
      <c r="D330">
        <v>38451941</v>
      </c>
      <c r="E330">
        <v>27</v>
      </c>
      <c r="F330">
        <v>1</v>
      </c>
      <c r="G330">
        <v>27</v>
      </c>
      <c r="H330">
        <v>1</v>
      </c>
      <c r="I330" t="s">
        <v>387</v>
      </c>
      <c r="J330" t="s">
        <v>3</v>
      </c>
      <c r="K330" t="s">
        <v>388</v>
      </c>
      <c r="L330">
        <v>1191</v>
      </c>
      <c r="N330">
        <v>1013</v>
      </c>
      <c r="O330" t="s">
        <v>389</v>
      </c>
      <c r="P330" t="s">
        <v>389</v>
      </c>
      <c r="Q330">
        <v>1</v>
      </c>
      <c r="X330">
        <v>2.31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1</v>
      </c>
      <c r="AE330">
        <v>1</v>
      </c>
      <c r="AF330" t="s">
        <v>3</v>
      </c>
      <c r="AG330">
        <v>2.31</v>
      </c>
      <c r="AH330">
        <v>2</v>
      </c>
      <c r="AI330">
        <v>38801826</v>
      </c>
      <c r="AJ330">
        <v>361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</row>
    <row r="331" spans="1:44" x14ac:dyDescent="0.2">
      <c r="A331">
        <f>ROW(Source!A751)</f>
        <v>751</v>
      </c>
      <c r="B331">
        <v>38801831</v>
      </c>
      <c r="C331">
        <v>38801825</v>
      </c>
      <c r="D331">
        <v>38464567</v>
      </c>
      <c r="E331">
        <v>1</v>
      </c>
      <c r="F331">
        <v>1</v>
      </c>
      <c r="G331">
        <v>27</v>
      </c>
      <c r="H331">
        <v>2</v>
      </c>
      <c r="I331" t="s">
        <v>412</v>
      </c>
      <c r="J331" t="s">
        <v>413</v>
      </c>
      <c r="K331" t="s">
        <v>414</v>
      </c>
      <c r="L331">
        <v>1368</v>
      </c>
      <c r="N331">
        <v>1011</v>
      </c>
      <c r="O331" t="s">
        <v>393</v>
      </c>
      <c r="P331" t="s">
        <v>393</v>
      </c>
      <c r="Q331">
        <v>1</v>
      </c>
      <c r="X331">
        <v>0.14000000000000001</v>
      </c>
      <c r="Y331">
        <v>0</v>
      </c>
      <c r="Z331">
        <v>744.2</v>
      </c>
      <c r="AA331">
        <v>423.17</v>
      </c>
      <c r="AB331">
        <v>0</v>
      </c>
      <c r="AC331">
        <v>0</v>
      </c>
      <c r="AD331">
        <v>1</v>
      </c>
      <c r="AE331">
        <v>0</v>
      </c>
      <c r="AF331" t="s">
        <v>3</v>
      </c>
      <c r="AG331">
        <v>0.14000000000000001</v>
      </c>
      <c r="AH331">
        <v>2</v>
      </c>
      <c r="AI331">
        <v>38801827</v>
      </c>
      <c r="AJ331">
        <v>362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</row>
    <row r="332" spans="1:44" x14ac:dyDescent="0.2">
      <c r="A332">
        <f>ROW(Source!A751)</f>
        <v>751</v>
      </c>
      <c r="B332">
        <v>38801832</v>
      </c>
      <c r="C332">
        <v>38801825</v>
      </c>
      <c r="D332">
        <v>38465034</v>
      </c>
      <c r="E332">
        <v>1</v>
      </c>
      <c r="F332">
        <v>1</v>
      </c>
      <c r="G332">
        <v>27</v>
      </c>
      <c r="H332">
        <v>2</v>
      </c>
      <c r="I332" t="s">
        <v>420</v>
      </c>
      <c r="J332" t="s">
        <v>421</v>
      </c>
      <c r="K332" t="s">
        <v>422</v>
      </c>
      <c r="L332">
        <v>1368</v>
      </c>
      <c r="N332">
        <v>1011</v>
      </c>
      <c r="O332" t="s">
        <v>393</v>
      </c>
      <c r="P332" t="s">
        <v>393</v>
      </c>
      <c r="Q332">
        <v>1</v>
      </c>
      <c r="X332">
        <v>0.28000000000000003</v>
      </c>
      <c r="Y332">
        <v>0</v>
      </c>
      <c r="Z332">
        <v>3.75</v>
      </c>
      <c r="AA332">
        <v>2.56</v>
      </c>
      <c r="AB332">
        <v>0</v>
      </c>
      <c r="AC332">
        <v>0</v>
      </c>
      <c r="AD332">
        <v>1</v>
      </c>
      <c r="AE332">
        <v>0</v>
      </c>
      <c r="AF332" t="s">
        <v>3</v>
      </c>
      <c r="AG332">
        <v>0.28000000000000003</v>
      </c>
      <c r="AH332">
        <v>2</v>
      </c>
      <c r="AI332">
        <v>38801828</v>
      </c>
      <c r="AJ332">
        <v>363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</row>
    <row r="333" spans="1:44" x14ac:dyDescent="0.2">
      <c r="A333">
        <f>ROW(Source!A751)</f>
        <v>751</v>
      </c>
      <c r="B333">
        <v>38801833</v>
      </c>
      <c r="C333">
        <v>38801825</v>
      </c>
      <c r="D333">
        <v>38468294</v>
      </c>
      <c r="E333">
        <v>1</v>
      </c>
      <c r="F333">
        <v>1</v>
      </c>
      <c r="G333">
        <v>27</v>
      </c>
      <c r="H333">
        <v>3</v>
      </c>
      <c r="I333" t="s">
        <v>450</v>
      </c>
      <c r="J333" t="s">
        <v>451</v>
      </c>
      <c r="K333" t="s">
        <v>452</v>
      </c>
      <c r="L333">
        <v>1348</v>
      </c>
      <c r="N333">
        <v>1009</v>
      </c>
      <c r="O333" t="s">
        <v>155</v>
      </c>
      <c r="P333" t="s">
        <v>155</v>
      </c>
      <c r="Q333">
        <v>1000</v>
      </c>
      <c r="X333">
        <v>1.1599999999999999</v>
      </c>
      <c r="Y333">
        <v>2562.79</v>
      </c>
      <c r="Z333">
        <v>0</v>
      </c>
      <c r="AA333">
        <v>0</v>
      </c>
      <c r="AB333">
        <v>0</v>
      </c>
      <c r="AC333">
        <v>0</v>
      </c>
      <c r="AD333">
        <v>1</v>
      </c>
      <c r="AE333">
        <v>0</v>
      </c>
      <c r="AF333" t="s">
        <v>3</v>
      </c>
      <c r="AG333">
        <v>1.1599999999999999</v>
      </c>
      <c r="AH333">
        <v>2</v>
      </c>
      <c r="AI333">
        <v>38801829</v>
      </c>
      <c r="AJ333">
        <v>364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</row>
    <row r="334" spans="1:44" x14ac:dyDescent="0.2">
      <c r="A334">
        <f>ROW(Source!A752)</f>
        <v>752</v>
      </c>
      <c r="B334">
        <v>38801841</v>
      </c>
      <c r="C334">
        <v>38801834</v>
      </c>
      <c r="D334">
        <v>38451941</v>
      </c>
      <c r="E334">
        <v>27</v>
      </c>
      <c r="F334">
        <v>1</v>
      </c>
      <c r="G334">
        <v>27</v>
      </c>
      <c r="H334">
        <v>1</v>
      </c>
      <c r="I334" t="s">
        <v>387</v>
      </c>
      <c r="J334" t="s">
        <v>3</v>
      </c>
      <c r="K334" t="s">
        <v>388</v>
      </c>
      <c r="L334">
        <v>1191</v>
      </c>
      <c r="N334">
        <v>1013</v>
      </c>
      <c r="O334" t="s">
        <v>389</v>
      </c>
      <c r="P334" t="s">
        <v>389</v>
      </c>
      <c r="Q334">
        <v>1</v>
      </c>
      <c r="X334">
        <v>87.4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1</v>
      </c>
      <c r="AE334">
        <v>1</v>
      </c>
      <c r="AF334" t="s">
        <v>3</v>
      </c>
      <c r="AG334">
        <v>87.4</v>
      </c>
      <c r="AH334">
        <v>2</v>
      </c>
      <c r="AI334">
        <v>38801835</v>
      </c>
      <c r="AJ334">
        <v>365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</row>
    <row r="335" spans="1:44" x14ac:dyDescent="0.2">
      <c r="A335">
        <f>ROW(Source!A752)</f>
        <v>752</v>
      </c>
      <c r="B335">
        <v>38801842</v>
      </c>
      <c r="C335">
        <v>38801834</v>
      </c>
      <c r="D335">
        <v>38464342</v>
      </c>
      <c r="E335">
        <v>1</v>
      </c>
      <c r="F335">
        <v>1</v>
      </c>
      <c r="G335">
        <v>27</v>
      </c>
      <c r="H335">
        <v>2</v>
      </c>
      <c r="I335" t="s">
        <v>520</v>
      </c>
      <c r="J335" t="s">
        <v>521</v>
      </c>
      <c r="K335" t="s">
        <v>522</v>
      </c>
      <c r="L335">
        <v>1368</v>
      </c>
      <c r="N335">
        <v>1011</v>
      </c>
      <c r="O335" t="s">
        <v>393</v>
      </c>
      <c r="P335" t="s">
        <v>393</v>
      </c>
      <c r="Q335">
        <v>1</v>
      </c>
      <c r="X335">
        <v>19</v>
      </c>
      <c r="Y335">
        <v>0</v>
      </c>
      <c r="Z335">
        <v>31</v>
      </c>
      <c r="AA335">
        <v>1.35</v>
      </c>
      <c r="AB335">
        <v>0</v>
      </c>
      <c r="AC335">
        <v>0</v>
      </c>
      <c r="AD335">
        <v>1</v>
      </c>
      <c r="AE335">
        <v>0</v>
      </c>
      <c r="AF335" t="s">
        <v>3</v>
      </c>
      <c r="AG335">
        <v>19</v>
      </c>
      <c r="AH335">
        <v>2</v>
      </c>
      <c r="AI335">
        <v>38801836</v>
      </c>
      <c r="AJ335">
        <v>366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</row>
    <row r="336" spans="1:44" x14ac:dyDescent="0.2">
      <c r="A336">
        <f>ROW(Source!A752)</f>
        <v>752</v>
      </c>
      <c r="B336">
        <v>38801843</v>
      </c>
      <c r="C336">
        <v>38801834</v>
      </c>
      <c r="D336">
        <v>38466161</v>
      </c>
      <c r="E336">
        <v>1</v>
      </c>
      <c r="F336">
        <v>1</v>
      </c>
      <c r="G336">
        <v>27</v>
      </c>
      <c r="H336">
        <v>3</v>
      </c>
      <c r="I336" t="s">
        <v>523</v>
      </c>
      <c r="J336" t="s">
        <v>524</v>
      </c>
      <c r="K336" t="s">
        <v>525</v>
      </c>
      <c r="L336">
        <v>1348</v>
      </c>
      <c r="N336">
        <v>1009</v>
      </c>
      <c r="O336" t="s">
        <v>155</v>
      </c>
      <c r="P336" t="s">
        <v>155</v>
      </c>
      <c r="Q336">
        <v>1000</v>
      </c>
      <c r="X336">
        <v>3.3E-3</v>
      </c>
      <c r="Y336">
        <v>105084.63</v>
      </c>
      <c r="Z336">
        <v>0</v>
      </c>
      <c r="AA336">
        <v>0</v>
      </c>
      <c r="AB336">
        <v>0</v>
      </c>
      <c r="AC336">
        <v>0</v>
      </c>
      <c r="AD336">
        <v>1</v>
      </c>
      <c r="AE336">
        <v>0</v>
      </c>
      <c r="AF336" t="s">
        <v>3</v>
      </c>
      <c r="AG336">
        <v>3.3E-3</v>
      </c>
      <c r="AH336">
        <v>2</v>
      </c>
      <c r="AI336">
        <v>38801837</v>
      </c>
      <c r="AJ336">
        <v>367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</row>
    <row r="337" spans="1:44" x14ac:dyDescent="0.2">
      <c r="A337">
        <f>ROW(Source!A752)</f>
        <v>752</v>
      </c>
      <c r="B337">
        <v>38801844</v>
      </c>
      <c r="C337">
        <v>38801834</v>
      </c>
      <c r="D337">
        <v>38467018</v>
      </c>
      <c r="E337">
        <v>1</v>
      </c>
      <c r="F337">
        <v>1</v>
      </c>
      <c r="G337">
        <v>27</v>
      </c>
      <c r="H337">
        <v>3</v>
      </c>
      <c r="I337" t="s">
        <v>496</v>
      </c>
      <c r="J337" t="s">
        <v>497</v>
      </c>
      <c r="K337" t="s">
        <v>498</v>
      </c>
      <c r="L337">
        <v>1348</v>
      </c>
      <c r="N337">
        <v>1009</v>
      </c>
      <c r="O337" t="s">
        <v>155</v>
      </c>
      <c r="P337" t="s">
        <v>155</v>
      </c>
      <c r="Q337">
        <v>1000</v>
      </c>
      <c r="X337">
        <v>1.4E-3</v>
      </c>
      <c r="Y337">
        <v>110781.14</v>
      </c>
      <c r="Z337">
        <v>0</v>
      </c>
      <c r="AA337">
        <v>0</v>
      </c>
      <c r="AB337">
        <v>0</v>
      </c>
      <c r="AC337">
        <v>0</v>
      </c>
      <c r="AD337">
        <v>1</v>
      </c>
      <c r="AE337">
        <v>0</v>
      </c>
      <c r="AF337" t="s">
        <v>3</v>
      </c>
      <c r="AG337">
        <v>1.4E-3</v>
      </c>
      <c r="AH337">
        <v>2</v>
      </c>
      <c r="AI337">
        <v>38801838</v>
      </c>
      <c r="AJ337">
        <v>368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</row>
    <row r="338" spans="1:44" x14ac:dyDescent="0.2">
      <c r="A338">
        <f>ROW(Source!A752)</f>
        <v>752</v>
      </c>
      <c r="B338">
        <v>38801845</v>
      </c>
      <c r="C338">
        <v>38801834</v>
      </c>
      <c r="D338">
        <v>38469133</v>
      </c>
      <c r="E338">
        <v>1</v>
      </c>
      <c r="F338">
        <v>1</v>
      </c>
      <c r="G338">
        <v>27</v>
      </c>
      <c r="H338">
        <v>3</v>
      </c>
      <c r="I338" t="s">
        <v>526</v>
      </c>
      <c r="J338" t="s">
        <v>527</v>
      </c>
      <c r="K338" t="s">
        <v>528</v>
      </c>
      <c r="L338">
        <v>1348</v>
      </c>
      <c r="N338">
        <v>1009</v>
      </c>
      <c r="O338" t="s">
        <v>155</v>
      </c>
      <c r="P338" t="s">
        <v>155</v>
      </c>
      <c r="Q338">
        <v>1000</v>
      </c>
      <c r="X338">
        <v>1</v>
      </c>
      <c r="Y338">
        <v>75026.559999999998</v>
      </c>
      <c r="Z338">
        <v>0</v>
      </c>
      <c r="AA338">
        <v>0</v>
      </c>
      <c r="AB338">
        <v>0</v>
      </c>
      <c r="AC338">
        <v>0</v>
      </c>
      <c r="AD338">
        <v>1</v>
      </c>
      <c r="AE338">
        <v>0</v>
      </c>
      <c r="AF338" t="s">
        <v>3</v>
      </c>
      <c r="AG338">
        <v>1</v>
      </c>
      <c r="AH338">
        <v>2</v>
      </c>
      <c r="AI338">
        <v>38801839</v>
      </c>
      <c r="AJ338">
        <v>369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</row>
    <row r="339" spans="1:44" x14ac:dyDescent="0.2">
      <c r="A339">
        <f>ROW(Source!A823)</f>
        <v>823</v>
      </c>
      <c r="B339">
        <v>38802345</v>
      </c>
      <c r="C339">
        <v>38802344</v>
      </c>
      <c r="D339">
        <v>38451941</v>
      </c>
      <c r="E339">
        <v>27</v>
      </c>
      <c r="F339">
        <v>1</v>
      </c>
      <c r="G339">
        <v>27</v>
      </c>
      <c r="H339">
        <v>1</v>
      </c>
      <c r="I339" t="s">
        <v>387</v>
      </c>
      <c r="J339" t="s">
        <v>3</v>
      </c>
      <c r="K339" t="s">
        <v>388</v>
      </c>
      <c r="L339">
        <v>1191</v>
      </c>
      <c r="N339">
        <v>1013</v>
      </c>
      <c r="O339" t="s">
        <v>389</v>
      </c>
      <c r="P339" t="s">
        <v>389</v>
      </c>
      <c r="Q339">
        <v>1</v>
      </c>
      <c r="X339">
        <v>3.3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1</v>
      </c>
      <c r="AE339">
        <v>1</v>
      </c>
      <c r="AF339" t="s">
        <v>3</v>
      </c>
      <c r="AG339">
        <v>3.3</v>
      </c>
      <c r="AH339">
        <v>2</v>
      </c>
      <c r="AI339">
        <v>38802345</v>
      </c>
      <c r="AJ339">
        <v>371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</row>
    <row r="340" spans="1:44" x14ac:dyDescent="0.2">
      <c r="A340">
        <f>ROW(Source!A824)</f>
        <v>824</v>
      </c>
      <c r="B340">
        <v>38802347</v>
      </c>
      <c r="C340">
        <v>38802346</v>
      </c>
      <c r="D340">
        <v>38451941</v>
      </c>
      <c r="E340">
        <v>27</v>
      </c>
      <c r="F340">
        <v>1</v>
      </c>
      <c r="G340">
        <v>27</v>
      </c>
      <c r="H340">
        <v>1</v>
      </c>
      <c r="I340" t="s">
        <v>387</v>
      </c>
      <c r="J340" t="s">
        <v>3</v>
      </c>
      <c r="K340" t="s">
        <v>388</v>
      </c>
      <c r="L340">
        <v>1191</v>
      </c>
      <c r="N340">
        <v>1013</v>
      </c>
      <c r="O340" t="s">
        <v>389</v>
      </c>
      <c r="P340" t="s">
        <v>389</v>
      </c>
      <c r="Q340">
        <v>1</v>
      </c>
      <c r="X340">
        <v>18.440000000000001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</v>
      </c>
      <c r="AE340">
        <v>1</v>
      </c>
      <c r="AF340" t="s">
        <v>3</v>
      </c>
      <c r="AG340">
        <v>18.440000000000001</v>
      </c>
      <c r="AH340">
        <v>2</v>
      </c>
      <c r="AI340">
        <v>38802347</v>
      </c>
      <c r="AJ340">
        <v>372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</row>
    <row r="341" spans="1:44" x14ac:dyDescent="0.2">
      <c r="A341">
        <f>ROW(Source!A824)</f>
        <v>824</v>
      </c>
      <c r="B341">
        <v>38802348</v>
      </c>
      <c r="C341">
        <v>38802346</v>
      </c>
      <c r="D341">
        <v>38464899</v>
      </c>
      <c r="E341">
        <v>1</v>
      </c>
      <c r="F341">
        <v>1</v>
      </c>
      <c r="G341">
        <v>27</v>
      </c>
      <c r="H341">
        <v>2</v>
      </c>
      <c r="I341" t="s">
        <v>453</v>
      </c>
      <c r="J341" t="s">
        <v>454</v>
      </c>
      <c r="K341" t="s">
        <v>455</v>
      </c>
      <c r="L341">
        <v>1368</v>
      </c>
      <c r="N341">
        <v>1011</v>
      </c>
      <c r="O341" t="s">
        <v>393</v>
      </c>
      <c r="P341" t="s">
        <v>393</v>
      </c>
      <c r="Q341">
        <v>1</v>
      </c>
      <c r="X341">
        <v>2.64</v>
      </c>
      <c r="Y341">
        <v>0</v>
      </c>
      <c r="Z341">
        <v>531.41</v>
      </c>
      <c r="AA341">
        <v>373.56</v>
      </c>
      <c r="AB341">
        <v>0</v>
      </c>
      <c r="AC341">
        <v>0</v>
      </c>
      <c r="AD341">
        <v>1</v>
      </c>
      <c r="AE341">
        <v>0</v>
      </c>
      <c r="AF341" t="s">
        <v>3</v>
      </c>
      <c r="AG341">
        <v>2.64</v>
      </c>
      <c r="AH341">
        <v>2</v>
      </c>
      <c r="AI341">
        <v>38802348</v>
      </c>
      <c r="AJ341">
        <v>373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</row>
    <row r="342" spans="1:44" x14ac:dyDescent="0.2">
      <c r="A342">
        <f>ROW(Source!A824)</f>
        <v>824</v>
      </c>
      <c r="B342">
        <v>38802349</v>
      </c>
      <c r="C342">
        <v>38802346</v>
      </c>
      <c r="D342">
        <v>38465122</v>
      </c>
      <c r="E342">
        <v>1</v>
      </c>
      <c r="F342">
        <v>1</v>
      </c>
      <c r="G342">
        <v>27</v>
      </c>
      <c r="H342">
        <v>2</v>
      </c>
      <c r="I342" t="s">
        <v>456</v>
      </c>
      <c r="J342" t="s">
        <v>457</v>
      </c>
      <c r="K342" t="s">
        <v>458</v>
      </c>
      <c r="L342">
        <v>1368</v>
      </c>
      <c r="N342">
        <v>1011</v>
      </c>
      <c r="O342" t="s">
        <v>393</v>
      </c>
      <c r="P342" t="s">
        <v>393</v>
      </c>
      <c r="Q342">
        <v>1</v>
      </c>
      <c r="X342">
        <v>1.18</v>
      </c>
      <c r="Y342">
        <v>0</v>
      </c>
      <c r="Z342">
        <v>7.44</v>
      </c>
      <c r="AA342">
        <v>0.98</v>
      </c>
      <c r="AB342">
        <v>0</v>
      </c>
      <c r="AC342">
        <v>0</v>
      </c>
      <c r="AD342">
        <v>1</v>
      </c>
      <c r="AE342">
        <v>0</v>
      </c>
      <c r="AF342" t="s">
        <v>3</v>
      </c>
      <c r="AG342">
        <v>1.18</v>
      </c>
      <c r="AH342">
        <v>2</v>
      </c>
      <c r="AI342">
        <v>38802349</v>
      </c>
      <c r="AJ342">
        <v>374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</row>
    <row r="343" spans="1:44" x14ac:dyDescent="0.2">
      <c r="A343">
        <f>ROW(Source!A824)</f>
        <v>824</v>
      </c>
      <c r="B343">
        <v>38802350</v>
      </c>
      <c r="C343">
        <v>38802346</v>
      </c>
      <c r="D343">
        <v>38464324</v>
      </c>
      <c r="E343">
        <v>1</v>
      </c>
      <c r="F343">
        <v>1</v>
      </c>
      <c r="G343">
        <v>27</v>
      </c>
      <c r="H343">
        <v>2</v>
      </c>
      <c r="I343" t="s">
        <v>459</v>
      </c>
      <c r="J343" t="s">
        <v>460</v>
      </c>
      <c r="K343" t="s">
        <v>461</v>
      </c>
      <c r="L343">
        <v>1368</v>
      </c>
      <c r="N343">
        <v>1011</v>
      </c>
      <c r="O343" t="s">
        <v>393</v>
      </c>
      <c r="P343" t="s">
        <v>393</v>
      </c>
      <c r="Q343">
        <v>1</v>
      </c>
      <c r="X343">
        <v>0.01</v>
      </c>
      <c r="Y343">
        <v>0</v>
      </c>
      <c r="Z343">
        <v>616.73</v>
      </c>
      <c r="AA343">
        <v>511.29</v>
      </c>
      <c r="AB343">
        <v>0</v>
      </c>
      <c r="AC343">
        <v>0</v>
      </c>
      <c r="AD343">
        <v>1</v>
      </c>
      <c r="AE343">
        <v>0</v>
      </c>
      <c r="AF343" t="s">
        <v>3</v>
      </c>
      <c r="AG343">
        <v>0.01</v>
      </c>
      <c r="AH343">
        <v>2</v>
      </c>
      <c r="AI343">
        <v>38802350</v>
      </c>
      <c r="AJ343">
        <v>375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</row>
    <row r="344" spans="1:44" x14ac:dyDescent="0.2">
      <c r="A344">
        <f>ROW(Source!A824)</f>
        <v>824</v>
      </c>
      <c r="B344">
        <v>38802351</v>
      </c>
      <c r="C344">
        <v>38802346</v>
      </c>
      <c r="D344">
        <v>38464508</v>
      </c>
      <c r="E344">
        <v>1</v>
      </c>
      <c r="F344">
        <v>1</v>
      </c>
      <c r="G344">
        <v>27</v>
      </c>
      <c r="H344">
        <v>2</v>
      </c>
      <c r="I344" t="s">
        <v>462</v>
      </c>
      <c r="J344" t="s">
        <v>463</v>
      </c>
      <c r="K344" t="s">
        <v>464</v>
      </c>
      <c r="L344">
        <v>1368</v>
      </c>
      <c r="N344">
        <v>1011</v>
      </c>
      <c r="O344" t="s">
        <v>393</v>
      </c>
      <c r="P344" t="s">
        <v>393</v>
      </c>
      <c r="Q344">
        <v>1</v>
      </c>
      <c r="X344">
        <v>2.64</v>
      </c>
      <c r="Y344">
        <v>0</v>
      </c>
      <c r="Z344">
        <v>454.31</v>
      </c>
      <c r="AA344">
        <v>405.68</v>
      </c>
      <c r="AB344">
        <v>0</v>
      </c>
      <c r="AC344">
        <v>0</v>
      </c>
      <c r="AD344">
        <v>1</v>
      </c>
      <c r="AE344">
        <v>0</v>
      </c>
      <c r="AF344" t="s">
        <v>3</v>
      </c>
      <c r="AG344">
        <v>2.64</v>
      </c>
      <c r="AH344">
        <v>2</v>
      </c>
      <c r="AI344">
        <v>38802351</v>
      </c>
      <c r="AJ344">
        <v>376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</row>
    <row r="345" spans="1:44" x14ac:dyDescent="0.2">
      <c r="A345">
        <f>ROW(Source!A824)</f>
        <v>824</v>
      </c>
      <c r="B345">
        <v>38802352</v>
      </c>
      <c r="C345">
        <v>38802346</v>
      </c>
      <c r="D345">
        <v>38467332</v>
      </c>
      <c r="E345">
        <v>1</v>
      </c>
      <c r="F345">
        <v>1</v>
      </c>
      <c r="G345">
        <v>27</v>
      </c>
      <c r="H345">
        <v>3</v>
      </c>
      <c r="I345" t="s">
        <v>465</v>
      </c>
      <c r="J345" t="s">
        <v>466</v>
      </c>
      <c r="K345" t="s">
        <v>467</v>
      </c>
      <c r="L345">
        <v>1327</v>
      </c>
      <c r="N345">
        <v>1005</v>
      </c>
      <c r="O345" t="s">
        <v>289</v>
      </c>
      <c r="P345" t="s">
        <v>289</v>
      </c>
      <c r="Q345">
        <v>1</v>
      </c>
      <c r="X345">
        <v>5.6</v>
      </c>
      <c r="Y345">
        <v>12.02</v>
      </c>
      <c r="Z345">
        <v>0</v>
      </c>
      <c r="AA345">
        <v>0</v>
      </c>
      <c r="AB345">
        <v>0</v>
      </c>
      <c r="AC345">
        <v>0</v>
      </c>
      <c r="AD345">
        <v>1</v>
      </c>
      <c r="AE345">
        <v>0</v>
      </c>
      <c r="AF345" t="s">
        <v>3</v>
      </c>
      <c r="AG345">
        <v>5.6</v>
      </c>
      <c r="AH345">
        <v>2</v>
      </c>
      <c r="AI345">
        <v>38802352</v>
      </c>
      <c r="AJ345">
        <v>377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</row>
    <row r="346" spans="1:44" x14ac:dyDescent="0.2">
      <c r="A346">
        <f>ROW(Source!A824)</f>
        <v>824</v>
      </c>
      <c r="B346">
        <v>38802353</v>
      </c>
      <c r="C346">
        <v>38802346</v>
      </c>
      <c r="D346">
        <v>38467419</v>
      </c>
      <c r="E346">
        <v>1</v>
      </c>
      <c r="F346">
        <v>1</v>
      </c>
      <c r="G346">
        <v>27</v>
      </c>
      <c r="H346">
        <v>3</v>
      </c>
      <c r="I346" t="s">
        <v>468</v>
      </c>
      <c r="J346" t="s">
        <v>469</v>
      </c>
      <c r="K346" t="s">
        <v>470</v>
      </c>
      <c r="L346">
        <v>1348</v>
      </c>
      <c r="N346">
        <v>1009</v>
      </c>
      <c r="O346" t="s">
        <v>155</v>
      </c>
      <c r="P346" t="s">
        <v>155</v>
      </c>
      <c r="Q346">
        <v>1000</v>
      </c>
      <c r="X346">
        <v>3.15E-3</v>
      </c>
      <c r="Y346">
        <v>343020.03</v>
      </c>
      <c r="Z346">
        <v>0</v>
      </c>
      <c r="AA346">
        <v>0</v>
      </c>
      <c r="AB346">
        <v>0</v>
      </c>
      <c r="AC346">
        <v>0</v>
      </c>
      <c r="AD346">
        <v>1</v>
      </c>
      <c r="AE346">
        <v>0</v>
      </c>
      <c r="AF346" t="s">
        <v>3</v>
      </c>
      <c r="AG346">
        <v>3.15E-3</v>
      </c>
      <c r="AH346">
        <v>2</v>
      </c>
      <c r="AI346">
        <v>38802353</v>
      </c>
      <c r="AJ346">
        <v>378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</row>
    <row r="347" spans="1:44" x14ac:dyDescent="0.2">
      <c r="A347">
        <f>ROW(Source!A824)</f>
        <v>824</v>
      </c>
      <c r="B347">
        <v>38802354</v>
      </c>
      <c r="C347">
        <v>38802346</v>
      </c>
      <c r="D347">
        <v>38467636</v>
      </c>
      <c r="E347">
        <v>1</v>
      </c>
      <c r="F347">
        <v>1</v>
      </c>
      <c r="G347">
        <v>27</v>
      </c>
      <c r="H347">
        <v>3</v>
      </c>
      <c r="I347" t="s">
        <v>471</v>
      </c>
      <c r="J347" t="s">
        <v>472</v>
      </c>
      <c r="K347" t="s">
        <v>473</v>
      </c>
      <c r="L347">
        <v>1346</v>
      </c>
      <c r="N347">
        <v>1009</v>
      </c>
      <c r="O347" t="s">
        <v>474</v>
      </c>
      <c r="P347" t="s">
        <v>474</v>
      </c>
      <c r="Q347">
        <v>1</v>
      </c>
      <c r="X347">
        <v>735</v>
      </c>
      <c r="Y347">
        <v>17.77</v>
      </c>
      <c r="Z347">
        <v>0</v>
      </c>
      <c r="AA347">
        <v>0</v>
      </c>
      <c r="AB347">
        <v>0</v>
      </c>
      <c r="AC347">
        <v>0</v>
      </c>
      <c r="AD347">
        <v>1</v>
      </c>
      <c r="AE347">
        <v>0</v>
      </c>
      <c r="AF347" t="s">
        <v>3</v>
      </c>
      <c r="AG347">
        <v>735</v>
      </c>
      <c r="AH347">
        <v>2</v>
      </c>
      <c r="AI347">
        <v>38802354</v>
      </c>
      <c r="AJ347">
        <v>379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</row>
    <row r="348" spans="1:44" x14ac:dyDescent="0.2">
      <c r="A348">
        <f>ROW(Source!A824)</f>
        <v>824</v>
      </c>
      <c r="B348">
        <v>38802355</v>
      </c>
      <c r="C348">
        <v>38802346</v>
      </c>
      <c r="D348">
        <v>38467643</v>
      </c>
      <c r="E348">
        <v>1</v>
      </c>
      <c r="F348">
        <v>1</v>
      </c>
      <c r="G348">
        <v>27</v>
      </c>
      <c r="H348">
        <v>3</v>
      </c>
      <c r="I348" t="s">
        <v>475</v>
      </c>
      <c r="J348" t="s">
        <v>476</v>
      </c>
      <c r="K348" t="s">
        <v>477</v>
      </c>
      <c r="L348">
        <v>1346</v>
      </c>
      <c r="N348">
        <v>1009</v>
      </c>
      <c r="O348" t="s">
        <v>474</v>
      </c>
      <c r="P348" t="s">
        <v>474</v>
      </c>
      <c r="Q348">
        <v>1</v>
      </c>
      <c r="X348">
        <v>241.5</v>
      </c>
      <c r="Y348">
        <v>202.34</v>
      </c>
      <c r="Z348">
        <v>0</v>
      </c>
      <c r="AA348">
        <v>0</v>
      </c>
      <c r="AB348">
        <v>0</v>
      </c>
      <c r="AC348">
        <v>0</v>
      </c>
      <c r="AD348">
        <v>1</v>
      </c>
      <c r="AE348">
        <v>0</v>
      </c>
      <c r="AF348" t="s">
        <v>3</v>
      </c>
      <c r="AG348">
        <v>241.5</v>
      </c>
      <c r="AH348">
        <v>2</v>
      </c>
      <c r="AI348">
        <v>38802355</v>
      </c>
      <c r="AJ348">
        <v>380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</row>
    <row r="349" spans="1:44" x14ac:dyDescent="0.2">
      <c r="A349">
        <f>ROW(Source!A824)</f>
        <v>824</v>
      </c>
      <c r="B349">
        <v>38802356</v>
      </c>
      <c r="C349">
        <v>38802346</v>
      </c>
      <c r="D349">
        <v>38465610</v>
      </c>
      <c r="E349">
        <v>1</v>
      </c>
      <c r="F349">
        <v>1</v>
      </c>
      <c r="G349">
        <v>27</v>
      </c>
      <c r="H349">
        <v>3</v>
      </c>
      <c r="I349" t="s">
        <v>478</v>
      </c>
      <c r="J349" t="s">
        <v>479</v>
      </c>
      <c r="K349" t="s">
        <v>480</v>
      </c>
      <c r="L349">
        <v>1348</v>
      </c>
      <c r="N349">
        <v>1009</v>
      </c>
      <c r="O349" t="s">
        <v>155</v>
      </c>
      <c r="P349" t="s">
        <v>155</v>
      </c>
      <c r="Q349">
        <v>1000</v>
      </c>
      <c r="X349">
        <v>5.2499999999999998E-2</v>
      </c>
      <c r="Y349">
        <v>748299.67</v>
      </c>
      <c r="Z349">
        <v>0</v>
      </c>
      <c r="AA349">
        <v>0</v>
      </c>
      <c r="AB349">
        <v>0</v>
      </c>
      <c r="AC349">
        <v>0</v>
      </c>
      <c r="AD349">
        <v>1</v>
      </c>
      <c r="AE349">
        <v>0</v>
      </c>
      <c r="AF349" t="s">
        <v>3</v>
      </c>
      <c r="AG349">
        <v>5.2499999999999998E-2</v>
      </c>
      <c r="AH349">
        <v>2</v>
      </c>
      <c r="AI349">
        <v>38802356</v>
      </c>
      <c r="AJ349">
        <v>381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</row>
    <row r="350" spans="1:44" x14ac:dyDescent="0.2">
      <c r="A350">
        <f>ROW(Source!A825)</f>
        <v>825</v>
      </c>
      <c r="B350">
        <v>38802372</v>
      </c>
      <c r="C350">
        <v>38802371</v>
      </c>
      <c r="D350">
        <v>38451941</v>
      </c>
      <c r="E350">
        <v>27</v>
      </c>
      <c r="F350">
        <v>1</v>
      </c>
      <c r="G350">
        <v>27</v>
      </c>
      <c r="H350">
        <v>1</v>
      </c>
      <c r="I350" t="s">
        <v>387</v>
      </c>
      <c r="J350" t="s">
        <v>3</v>
      </c>
      <c r="K350" t="s">
        <v>388</v>
      </c>
      <c r="L350">
        <v>1191</v>
      </c>
      <c r="N350">
        <v>1013</v>
      </c>
      <c r="O350" t="s">
        <v>389</v>
      </c>
      <c r="P350" t="s">
        <v>389</v>
      </c>
      <c r="Q350">
        <v>1</v>
      </c>
      <c r="X350">
        <v>110.4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1</v>
      </c>
      <c r="AE350">
        <v>1</v>
      </c>
      <c r="AF350" t="s">
        <v>3</v>
      </c>
      <c r="AG350">
        <v>110.4</v>
      </c>
      <c r="AH350">
        <v>2</v>
      </c>
      <c r="AI350">
        <v>38802372</v>
      </c>
      <c r="AJ350">
        <v>382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</row>
    <row r="351" spans="1:44" x14ac:dyDescent="0.2">
      <c r="A351">
        <f>ROW(Source!A825)</f>
        <v>825</v>
      </c>
      <c r="B351">
        <v>38802373</v>
      </c>
      <c r="C351">
        <v>38802371</v>
      </c>
      <c r="D351">
        <v>38464342</v>
      </c>
      <c r="E351">
        <v>1</v>
      </c>
      <c r="F351">
        <v>1</v>
      </c>
      <c r="G351">
        <v>27</v>
      </c>
      <c r="H351">
        <v>2</v>
      </c>
      <c r="I351" t="s">
        <v>520</v>
      </c>
      <c r="J351" t="s">
        <v>521</v>
      </c>
      <c r="K351" t="s">
        <v>522</v>
      </c>
      <c r="L351">
        <v>1368</v>
      </c>
      <c r="N351">
        <v>1011</v>
      </c>
      <c r="O351" t="s">
        <v>393</v>
      </c>
      <c r="P351" t="s">
        <v>393</v>
      </c>
      <c r="Q351">
        <v>1</v>
      </c>
      <c r="X351">
        <v>24</v>
      </c>
      <c r="Y351">
        <v>0</v>
      </c>
      <c r="Z351">
        <v>31</v>
      </c>
      <c r="AA351">
        <v>1.35</v>
      </c>
      <c r="AB351">
        <v>0</v>
      </c>
      <c r="AC351">
        <v>0</v>
      </c>
      <c r="AD351">
        <v>1</v>
      </c>
      <c r="AE351">
        <v>0</v>
      </c>
      <c r="AF351" t="s">
        <v>3</v>
      </c>
      <c r="AG351">
        <v>24</v>
      </c>
      <c r="AH351">
        <v>2</v>
      </c>
      <c r="AI351">
        <v>38802373</v>
      </c>
      <c r="AJ351">
        <v>383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</row>
    <row r="352" spans="1:44" x14ac:dyDescent="0.2">
      <c r="A352">
        <f>ROW(Source!A825)</f>
        <v>825</v>
      </c>
      <c r="B352">
        <v>38802374</v>
      </c>
      <c r="C352">
        <v>38802371</v>
      </c>
      <c r="D352">
        <v>38466161</v>
      </c>
      <c r="E352">
        <v>1</v>
      </c>
      <c r="F352">
        <v>1</v>
      </c>
      <c r="G352">
        <v>27</v>
      </c>
      <c r="H352">
        <v>3</v>
      </c>
      <c r="I352" t="s">
        <v>523</v>
      </c>
      <c r="J352" t="s">
        <v>524</v>
      </c>
      <c r="K352" t="s">
        <v>525</v>
      </c>
      <c r="L352">
        <v>1348</v>
      </c>
      <c r="N352">
        <v>1009</v>
      </c>
      <c r="O352" t="s">
        <v>155</v>
      </c>
      <c r="P352" t="s">
        <v>155</v>
      </c>
      <c r="Q352">
        <v>1000</v>
      </c>
      <c r="X352">
        <v>5.0000000000000001E-3</v>
      </c>
      <c r="Y352">
        <v>105084.63</v>
      </c>
      <c r="Z352">
        <v>0</v>
      </c>
      <c r="AA352">
        <v>0</v>
      </c>
      <c r="AB352">
        <v>0</v>
      </c>
      <c r="AC352">
        <v>0</v>
      </c>
      <c r="AD352">
        <v>1</v>
      </c>
      <c r="AE352">
        <v>0</v>
      </c>
      <c r="AF352" t="s">
        <v>3</v>
      </c>
      <c r="AG352">
        <v>5.0000000000000001E-3</v>
      </c>
      <c r="AH352">
        <v>2</v>
      </c>
      <c r="AI352">
        <v>38802374</v>
      </c>
      <c r="AJ352">
        <v>384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</row>
    <row r="353" spans="1:44" x14ac:dyDescent="0.2">
      <c r="A353">
        <f>ROW(Source!A825)</f>
        <v>825</v>
      </c>
      <c r="B353">
        <v>38802375</v>
      </c>
      <c r="C353">
        <v>38802371</v>
      </c>
      <c r="D353">
        <v>38467018</v>
      </c>
      <c r="E353">
        <v>1</v>
      </c>
      <c r="F353">
        <v>1</v>
      </c>
      <c r="G353">
        <v>27</v>
      </c>
      <c r="H353">
        <v>3</v>
      </c>
      <c r="I353" t="s">
        <v>496</v>
      </c>
      <c r="J353" t="s">
        <v>497</v>
      </c>
      <c r="K353" t="s">
        <v>498</v>
      </c>
      <c r="L353">
        <v>1348</v>
      </c>
      <c r="N353">
        <v>1009</v>
      </c>
      <c r="O353" t="s">
        <v>155</v>
      </c>
      <c r="P353" t="s">
        <v>155</v>
      </c>
      <c r="Q353">
        <v>1000</v>
      </c>
      <c r="X353">
        <v>2E-3</v>
      </c>
      <c r="Y353">
        <v>110781.14</v>
      </c>
      <c r="Z353">
        <v>0</v>
      </c>
      <c r="AA353">
        <v>0</v>
      </c>
      <c r="AB353">
        <v>0</v>
      </c>
      <c r="AC353">
        <v>0</v>
      </c>
      <c r="AD353">
        <v>1</v>
      </c>
      <c r="AE353">
        <v>0</v>
      </c>
      <c r="AF353" t="s">
        <v>3</v>
      </c>
      <c r="AG353">
        <v>2E-3</v>
      </c>
      <c r="AH353">
        <v>2</v>
      </c>
      <c r="AI353">
        <v>38802375</v>
      </c>
      <c r="AJ353">
        <v>385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</row>
    <row r="354" spans="1:44" x14ac:dyDescent="0.2">
      <c r="A354">
        <f>ROW(Source!A825)</f>
        <v>825</v>
      </c>
      <c r="B354">
        <v>38802376</v>
      </c>
      <c r="C354">
        <v>38802371</v>
      </c>
      <c r="D354">
        <v>38469130</v>
      </c>
      <c r="E354">
        <v>1</v>
      </c>
      <c r="F354">
        <v>1</v>
      </c>
      <c r="G354">
        <v>27</v>
      </c>
      <c r="H354">
        <v>3</v>
      </c>
      <c r="I354" t="s">
        <v>572</v>
      </c>
      <c r="J354" t="s">
        <v>573</v>
      </c>
      <c r="K354" t="s">
        <v>574</v>
      </c>
      <c r="L354">
        <v>1348</v>
      </c>
      <c r="N354">
        <v>1009</v>
      </c>
      <c r="O354" t="s">
        <v>155</v>
      </c>
      <c r="P354" t="s">
        <v>155</v>
      </c>
      <c r="Q354">
        <v>1000</v>
      </c>
      <c r="X354">
        <v>1</v>
      </c>
      <c r="Y354">
        <v>79722.539999999994</v>
      </c>
      <c r="Z354">
        <v>0</v>
      </c>
      <c r="AA354">
        <v>0</v>
      </c>
      <c r="AB354">
        <v>0</v>
      </c>
      <c r="AC354">
        <v>0</v>
      </c>
      <c r="AD354">
        <v>1</v>
      </c>
      <c r="AE354">
        <v>0</v>
      </c>
      <c r="AF354" t="s">
        <v>3</v>
      </c>
      <c r="AG354">
        <v>1</v>
      </c>
      <c r="AH354">
        <v>2</v>
      </c>
      <c r="AI354">
        <v>38802376</v>
      </c>
      <c r="AJ354">
        <v>386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</row>
    <row r="355" spans="1:44" x14ac:dyDescent="0.2">
      <c r="A355">
        <f>ROW(Source!A892)</f>
        <v>892</v>
      </c>
      <c r="B355">
        <v>38801909</v>
      </c>
      <c r="C355">
        <v>38801906</v>
      </c>
      <c r="D355">
        <v>38464211</v>
      </c>
      <c r="E355">
        <v>1</v>
      </c>
      <c r="F355">
        <v>1</v>
      </c>
      <c r="G355">
        <v>27</v>
      </c>
      <c r="H355">
        <v>2</v>
      </c>
      <c r="I355" t="s">
        <v>648</v>
      </c>
      <c r="J355" t="s">
        <v>649</v>
      </c>
      <c r="K355" t="s">
        <v>650</v>
      </c>
      <c r="L355">
        <v>1368</v>
      </c>
      <c r="N355">
        <v>1011</v>
      </c>
      <c r="O355" t="s">
        <v>393</v>
      </c>
      <c r="P355" t="s">
        <v>393</v>
      </c>
      <c r="Q355">
        <v>1</v>
      </c>
      <c r="X355">
        <v>5.3699999999999998E-2</v>
      </c>
      <c r="Y355">
        <v>0</v>
      </c>
      <c r="Z355">
        <v>1494.43</v>
      </c>
      <c r="AA355">
        <v>481.21</v>
      </c>
      <c r="AB355">
        <v>0</v>
      </c>
      <c r="AC355">
        <v>0</v>
      </c>
      <c r="AD355">
        <v>1</v>
      </c>
      <c r="AE355">
        <v>0</v>
      </c>
      <c r="AF355" t="s">
        <v>3</v>
      </c>
      <c r="AG355">
        <v>5.3699999999999998E-2</v>
      </c>
      <c r="AH355">
        <v>2</v>
      </c>
      <c r="AI355">
        <v>38801909</v>
      </c>
      <c r="AJ355">
        <v>388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</row>
    <row r="356" spans="1:44" x14ac:dyDescent="0.2">
      <c r="A356">
        <f>ROW(Source!A893)</f>
        <v>893</v>
      </c>
      <c r="B356">
        <v>38801910</v>
      </c>
      <c r="C356">
        <v>38801907</v>
      </c>
      <c r="D356">
        <v>38465009</v>
      </c>
      <c r="E356">
        <v>1</v>
      </c>
      <c r="F356">
        <v>1</v>
      </c>
      <c r="G356">
        <v>27</v>
      </c>
      <c r="H356">
        <v>2</v>
      </c>
      <c r="I356" t="s">
        <v>651</v>
      </c>
      <c r="J356" t="s">
        <v>652</v>
      </c>
      <c r="K356" t="s">
        <v>653</v>
      </c>
      <c r="L356">
        <v>1368</v>
      </c>
      <c r="N356">
        <v>1011</v>
      </c>
      <c r="O356" t="s">
        <v>393</v>
      </c>
      <c r="P356" t="s">
        <v>393</v>
      </c>
      <c r="Q356">
        <v>1</v>
      </c>
      <c r="X356">
        <v>0.02</v>
      </c>
      <c r="Y356">
        <v>0</v>
      </c>
      <c r="Z356">
        <v>1009.4</v>
      </c>
      <c r="AA356">
        <v>316.82</v>
      </c>
      <c r="AB356">
        <v>0</v>
      </c>
      <c r="AC356">
        <v>0</v>
      </c>
      <c r="AD356">
        <v>1</v>
      </c>
      <c r="AE356">
        <v>0</v>
      </c>
      <c r="AF356" t="s">
        <v>3</v>
      </c>
      <c r="AG356">
        <v>0.02</v>
      </c>
      <c r="AH356">
        <v>2</v>
      </c>
      <c r="AI356">
        <v>38801910</v>
      </c>
      <c r="AJ356">
        <v>389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</row>
    <row r="357" spans="1:44" x14ac:dyDescent="0.2">
      <c r="A357">
        <f>ROW(Source!A893)</f>
        <v>893</v>
      </c>
      <c r="B357">
        <v>38801911</v>
      </c>
      <c r="C357">
        <v>38801907</v>
      </c>
      <c r="D357">
        <v>38465010</v>
      </c>
      <c r="E357">
        <v>1</v>
      </c>
      <c r="F357">
        <v>1</v>
      </c>
      <c r="G357">
        <v>27</v>
      </c>
      <c r="H357">
        <v>2</v>
      </c>
      <c r="I357" t="s">
        <v>654</v>
      </c>
      <c r="J357" t="s">
        <v>655</v>
      </c>
      <c r="K357" t="s">
        <v>656</v>
      </c>
      <c r="L357">
        <v>1368</v>
      </c>
      <c r="N357">
        <v>1011</v>
      </c>
      <c r="O357" t="s">
        <v>393</v>
      </c>
      <c r="P357" t="s">
        <v>393</v>
      </c>
      <c r="Q357">
        <v>1</v>
      </c>
      <c r="X357">
        <v>1.7999999999999999E-2</v>
      </c>
      <c r="Y357">
        <v>0</v>
      </c>
      <c r="Z357">
        <v>1014.12</v>
      </c>
      <c r="AA357">
        <v>317.13</v>
      </c>
      <c r="AB357">
        <v>0</v>
      </c>
      <c r="AC357">
        <v>0</v>
      </c>
      <c r="AD357">
        <v>1</v>
      </c>
      <c r="AE357">
        <v>0</v>
      </c>
      <c r="AF357" t="s">
        <v>3</v>
      </c>
      <c r="AG357">
        <v>1.7999999999999999E-2</v>
      </c>
      <c r="AH357">
        <v>2</v>
      </c>
      <c r="AI357">
        <v>38801911</v>
      </c>
      <c r="AJ357">
        <v>390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</row>
    <row r="358" spans="1:44" x14ac:dyDescent="0.2">
      <c r="A358">
        <f>ROW(Source!A894)</f>
        <v>894</v>
      </c>
      <c r="B358">
        <v>38801912</v>
      </c>
      <c r="C358">
        <v>38801908</v>
      </c>
      <c r="D358">
        <v>38465009</v>
      </c>
      <c r="E358">
        <v>1</v>
      </c>
      <c r="F358">
        <v>1</v>
      </c>
      <c r="G358">
        <v>27</v>
      </c>
      <c r="H358">
        <v>2</v>
      </c>
      <c r="I358" t="s">
        <v>651</v>
      </c>
      <c r="J358" t="s">
        <v>652</v>
      </c>
      <c r="K358" t="s">
        <v>653</v>
      </c>
      <c r="L358">
        <v>1368</v>
      </c>
      <c r="N358">
        <v>1011</v>
      </c>
      <c r="O358" t="s">
        <v>393</v>
      </c>
      <c r="P358" t="s">
        <v>393</v>
      </c>
      <c r="Q358">
        <v>1</v>
      </c>
      <c r="X358">
        <v>0.01</v>
      </c>
      <c r="Y358">
        <v>0</v>
      </c>
      <c r="Z358">
        <v>1009.4</v>
      </c>
      <c r="AA358">
        <v>316.82</v>
      </c>
      <c r="AB358">
        <v>0</v>
      </c>
      <c r="AC358">
        <v>0</v>
      </c>
      <c r="AD358">
        <v>1</v>
      </c>
      <c r="AE358">
        <v>0</v>
      </c>
      <c r="AF358" t="s">
        <v>375</v>
      </c>
      <c r="AG358">
        <v>0.28000000000000003</v>
      </c>
      <c r="AH358">
        <v>2</v>
      </c>
      <c r="AI358">
        <v>38801912</v>
      </c>
      <c r="AJ358">
        <v>391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</row>
    <row r="359" spans="1:44" x14ac:dyDescent="0.2">
      <c r="A359">
        <f>ROW(Source!A894)</f>
        <v>894</v>
      </c>
      <c r="B359">
        <v>38801913</v>
      </c>
      <c r="C359">
        <v>38801908</v>
      </c>
      <c r="D359">
        <v>38465010</v>
      </c>
      <c r="E359">
        <v>1</v>
      </c>
      <c r="F359">
        <v>1</v>
      </c>
      <c r="G359">
        <v>27</v>
      </c>
      <c r="H359">
        <v>2</v>
      </c>
      <c r="I359" t="s">
        <v>654</v>
      </c>
      <c r="J359" t="s">
        <v>655</v>
      </c>
      <c r="K359" t="s">
        <v>656</v>
      </c>
      <c r="L359">
        <v>1368</v>
      </c>
      <c r="N359">
        <v>1011</v>
      </c>
      <c r="O359" t="s">
        <v>393</v>
      </c>
      <c r="P359" t="s">
        <v>393</v>
      </c>
      <c r="Q359">
        <v>1</v>
      </c>
      <c r="X359">
        <v>8.0000000000000002E-3</v>
      </c>
      <c r="Y359">
        <v>0</v>
      </c>
      <c r="Z359">
        <v>1014.12</v>
      </c>
      <c r="AA359">
        <v>317.13</v>
      </c>
      <c r="AB359">
        <v>0</v>
      </c>
      <c r="AC359">
        <v>0</v>
      </c>
      <c r="AD359">
        <v>1</v>
      </c>
      <c r="AE359">
        <v>0</v>
      </c>
      <c r="AF359" t="s">
        <v>375</v>
      </c>
      <c r="AG359">
        <v>0.224</v>
      </c>
      <c r="AH359">
        <v>2</v>
      </c>
      <c r="AI359">
        <v>38801913</v>
      </c>
      <c r="AJ359">
        <v>392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6</vt:i4>
      </vt:variant>
    </vt:vector>
  </HeadingPairs>
  <TitlesOfParts>
    <vt:vector size="14" baseType="lpstr">
      <vt:lpstr>Смета СН-2012 по гл. 1-5</vt:lpstr>
      <vt:lpstr>Ведомость объемов работ</vt:lpstr>
      <vt:lpstr>RV_DATA</vt:lpstr>
      <vt:lpstr>Расчет стоимости ресурсов</vt:lpstr>
      <vt:lpstr>Source</vt:lpstr>
      <vt:lpstr>SourceObSm</vt:lpstr>
      <vt:lpstr>SmtRes</vt:lpstr>
      <vt:lpstr>EtalonRes</vt:lpstr>
      <vt:lpstr>'Ведомость объемов работ'!Заголовки_для_печати</vt:lpstr>
      <vt:lpstr>'Расчет стоимости ресурсов'!Заголовки_для_печати</vt:lpstr>
      <vt:lpstr>'Смета СН-2012 по гл. 1-5'!Заголовки_для_печати</vt:lpstr>
      <vt:lpstr>'Ведомость объемов работ'!Область_печати</vt:lpstr>
      <vt:lpstr>'Расчет стоимости ресурсов'!Область_печати</vt:lpstr>
      <vt:lpstr>'Смета СН-2012 по гл. 1-5'!Область_печати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Экономист</dc:creator>
  <cp:lastModifiedBy>Экономист</cp:lastModifiedBy>
  <dcterms:created xsi:type="dcterms:W3CDTF">2020-12-18T14:31:11Z</dcterms:created>
  <dcterms:modified xsi:type="dcterms:W3CDTF">2021-03-26T13:26:42Z</dcterms:modified>
</cp:coreProperties>
</file>